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35e2cb0ed5e485/Kotel blaze harmony/Dokumenty obec/Dokumenty obce/Dotace 2025^J2022^J2021^J2019/Akce  kaplička na Habrku/"/>
    </mc:Choice>
  </mc:AlternateContent>
  <xr:revisionPtr revIDLastSave="0" documentId="8_{4A6D7B62-FE76-4845-B06D-72DA95AA85A3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Krycí list rozpočtu" sheetId="4" r:id="rId1"/>
    <sheet name="Rozpočet - Jen podskupiny" sheetId="2" r:id="rId2"/>
    <sheet name="Stavební rozpočet" sheetId="1" r:id="rId3"/>
    <sheet name="Výkaz výměr" sheetId="3" r:id="rId4"/>
    <sheet name="VORN" sheetId="5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5" l="1"/>
  <c r="I35" i="5"/>
  <c r="I26" i="5"/>
  <c r="I25" i="5"/>
  <c r="I24" i="5"/>
  <c r="I23" i="5"/>
  <c r="I22" i="5"/>
  <c r="I27" i="5" s="1"/>
  <c r="I21" i="5"/>
  <c r="I17" i="5"/>
  <c r="I18" i="5" s="1"/>
  <c r="I16" i="5"/>
  <c r="I15" i="5"/>
  <c r="I10" i="5"/>
  <c r="F10" i="5"/>
  <c r="C10" i="5"/>
  <c r="F8" i="5"/>
  <c r="C8" i="5"/>
  <c r="F6" i="5"/>
  <c r="C6" i="5"/>
  <c r="F4" i="5"/>
  <c r="C4" i="5"/>
  <c r="F2" i="5"/>
  <c r="C2" i="5"/>
  <c r="I24" i="4"/>
  <c r="I19" i="4"/>
  <c r="I18" i="4"/>
  <c r="I17" i="4"/>
  <c r="I16" i="4"/>
  <c r="F16" i="4"/>
  <c r="I15" i="4"/>
  <c r="F15" i="4"/>
  <c r="I14" i="4"/>
  <c r="I22" i="4" s="1"/>
  <c r="F14" i="4"/>
  <c r="F22" i="4" s="1"/>
  <c r="I10" i="4"/>
  <c r="F10" i="4"/>
  <c r="C10" i="4"/>
  <c r="F8" i="4"/>
  <c r="C8" i="4"/>
  <c r="F6" i="4"/>
  <c r="C6" i="4"/>
  <c r="F4" i="4"/>
  <c r="C4" i="4"/>
  <c r="F2" i="4"/>
  <c r="C2" i="4"/>
  <c r="F8" i="3"/>
  <c r="C8" i="3"/>
  <c r="F6" i="3"/>
  <c r="C6" i="3"/>
  <c r="F4" i="3"/>
  <c r="C4" i="3"/>
  <c r="F2" i="3"/>
  <c r="C2" i="3"/>
  <c r="P17" i="2"/>
  <c r="P16" i="2"/>
  <c r="P15" i="2"/>
  <c r="P14" i="2"/>
  <c r="P13" i="2"/>
  <c r="P12" i="2"/>
  <c r="J8" i="2"/>
  <c r="H8" i="2"/>
  <c r="D8" i="2"/>
  <c r="J6" i="2"/>
  <c r="H6" i="2"/>
  <c r="D6" i="2"/>
  <c r="J4" i="2"/>
  <c r="H4" i="2"/>
  <c r="D4" i="2"/>
  <c r="J2" i="2"/>
  <c r="H2" i="2"/>
  <c r="D2" i="2"/>
  <c r="BV76" i="1"/>
  <c r="BI76" i="1"/>
  <c r="BE76" i="1"/>
  <c r="BC76" i="1"/>
  <c r="AO76" i="1"/>
  <c r="AW76" i="1" s="1"/>
  <c r="AN76" i="1"/>
  <c r="AV76" i="1" s="1"/>
  <c r="AJ76" i="1"/>
  <c r="AI76" i="1"/>
  <c r="AR75" i="1" s="1"/>
  <c r="AG76" i="1"/>
  <c r="AF76" i="1"/>
  <c r="AE76" i="1"/>
  <c r="AD76" i="1"/>
  <c r="AC76" i="1"/>
  <c r="Y76" i="1"/>
  <c r="O76" i="1"/>
  <c r="O75" i="1" s="1"/>
  <c r="L76" i="1"/>
  <c r="K76" i="1"/>
  <c r="K75" i="1" s="1"/>
  <c r="J76" i="1"/>
  <c r="J75" i="1" s="1"/>
  <c r="AS75" i="1"/>
  <c r="BV74" i="1"/>
  <c r="BI74" i="1"/>
  <c r="BC74" i="1"/>
  <c r="AV74" i="1"/>
  <c r="AO74" i="1"/>
  <c r="BH74" i="1" s="1"/>
  <c r="AD74" i="1" s="1"/>
  <c r="AN74" i="1"/>
  <c r="BG74" i="1" s="1"/>
  <c r="AC74" i="1" s="1"/>
  <c r="AJ74" i="1"/>
  <c r="AI74" i="1"/>
  <c r="AR72" i="1" s="1"/>
  <c r="AG74" i="1"/>
  <c r="AF74" i="1"/>
  <c r="AE74" i="1"/>
  <c r="AB74" i="1"/>
  <c r="AA74" i="1"/>
  <c r="Y74" i="1"/>
  <c r="O74" i="1"/>
  <c r="BE74" i="1" s="1"/>
  <c r="L74" i="1"/>
  <c r="AK74" i="1" s="1"/>
  <c r="J74" i="1"/>
  <c r="BV73" i="1"/>
  <c r="BI73" i="1"/>
  <c r="BE73" i="1"/>
  <c r="BC73" i="1"/>
  <c r="AO73" i="1"/>
  <c r="AW73" i="1" s="1"/>
  <c r="AN73" i="1"/>
  <c r="AV73" i="1" s="1"/>
  <c r="AJ73" i="1"/>
  <c r="AI73" i="1"/>
  <c r="AG73" i="1"/>
  <c r="AF73" i="1"/>
  <c r="AE73" i="1"/>
  <c r="AB73" i="1"/>
  <c r="AA73" i="1"/>
  <c r="Y73" i="1"/>
  <c r="O73" i="1"/>
  <c r="O72" i="1" s="1"/>
  <c r="L73" i="1"/>
  <c r="K73" i="1"/>
  <c r="J73" i="1"/>
  <c r="AS72" i="1"/>
  <c r="BV71" i="1"/>
  <c r="BI71" i="1"/>
  <c r="Y71" i="1" s="1"/>
  <c r="BC71" i="1"/>
  <c r="AV71" i="1"/>
  <c r="AO71" i="1"/>
  <c r="AW71" i="1" s="1"/>
  <c r="AN71" i="1"/>
  <c r="BG71" i="1" s="1"/>
  <c r="AJ71" i="1"/>
  <c r="AI71" i="1"/>
  <c r="AG71" i="1"/>
  <c r="AF71" i="1"/>
  <c r="AE71" i="1"/>
  <c r="AD71" i="1"/>
  <c r="AC71" i="1"/>
  <c r="AB71" i="1"/>
  <c r="AA71" i="1"/>
  <c r="O71" i="1"/>
  <c r="BE71" i="1" s="1"/>
  <c r="L71" i="1"/>
  <c r="AK71" i="1" s="1"/>
  <c r="J71" i="1"/>
  <c r="BV69" i="1"/>
  <c r="BI69" i="1"/>
  <c r="BC69" i="1"/>
  <c r="AO69" i="1"/>
  <c r="AW69" i="1" s="1"/>
  <c r="AN69" i="1"/>
  <c r="AV69" i="1" s="1"/>
  <c r="AJ69" i="1"/>
  <c r="AI69" i="1"/>
  <c r="AG69" i="1"/>
  <c r="AF69" i="1"/>
  <c r="AE69" i="1"/>
  <c r="AB69" i="1"/>
  <c r="AA69" i="1"/>
  <c r="Y69" i="1"/>
  <c r="O69" i="1"/>
  <c r="L69" i="1"/>
  <c r="K69" i="1"/>
  <c r="J69" i="1"/>
  <c r="BV67" i="1"/>
  <c r="BI67" i="1"/>
  <c r="BC67" i="1"/>
  <c r="AO67" i="1"/>
  <c r="K67" i="1" s="1"/>
  <c r="AN67" i="1"/>
  <c r="BG67" i="1" s="1"/>
  <c r="AC67" i="1" s="1"/>
  <c r="AJ67" i="1"/>
  <c r="AI67" i="1"/>
  <c r="AG67" i="1"/>
  <c r="AF67" i="1"/>
  <c r="AE67" i="1"/>
  <c r="AB67" i="1"/>
  <c r="AA67" i="1"/>
  <c r="Y67" i="1"/>
  <c r="O67" i="1"/>
  <c r="BE67" i="1" s="1"/>
  <c r="L67" i="1"/>
  <c r="AK67" i="1" s="1"/>
  <c r="BV65" i="1"/>
  <c r="BI65" i="1"/>
  <c r="BE65" i="1"/>
  <c r="BC65" i="1"/>
  <c r="AO65" i="1"/>
  <c r="AW65" i="1" s="1"/>
  <c r="AN65" i="1"/>
  <c r="AV65" i="1" s="1"/>
  <c r="AJ65" i="1"/>
  <c r="AI65" i="1"/>
  <c r="AG65" i="1"/>
  <c r="AF65" i="1"/>
  <c r="AE65" i="1"/>
  <c r="AB65" i="1"/>
  <c r="AA65" i="1"/>
  <c r="Y65" i="1"/>
  <c r="O65" i="1"/>
  <c r="L65" i="1"/>
  <c r="J65" i="1"/>
  <c r="BV64" i="1"/>
  <c r="BI64" i="1"/>
  <c r="BC64" i="1"/>
  <c r="AO64" i="1"/>
  <c r="K64" i="1" s="1"/>
  <c r="AN64" i="1"/>
  <c r="BG64" i="1" s="1"/>
  <c r="AC64" i="1" s="1"/>
  <c r="AJ64" i="1"/>
  <c r="AI64" i="1"/>
  <c r="AG64" i="1"/>
  <c r="AF64" i="1"/>
  <c r="AE64" i="1"/>
  <c r="AB64" i="1"/>
  <c r="AA64" i="1"/>
  <c r="Y64" i="1"/>
  <c r="O64" i="1"/>
  <c r="BE64" i="1" s="1"/>
  <c r="L64" i="1"/>
  <c r="AK64" i="1" s="1"/>
  <c r="J64" i="1"/>
  <c r="BV63" i="1"/>
  <c r="BI63" i="1"/>
  <c r="BC63" i="1"/>
  <c r="AO63" i="1"/>
  <c r="AW63" i="1" s="1"/>
  <c r="AN63" i="1"/>
  <c r="AV63" i="1" s="1"/>
  <c r="AJ63" i="1"/>
  <c r="AI63" i="1"/>
  <c r="AG63" i="1"/>
  <c r="AD63" i="1"/>
  <c r="AC63" i="1"/>
  <c r="AB63" i="1"/>
  <c r="AA63" i="1"/>
  <c r="Y63" i="1"/>
  <c r="O63" i="1"/>
  <c r="BE63" i="1" s="1"/>
  <c r="L63" i="1"/>
  <c r="K63" i="1"/>
  <c r="J63" i="1"/>
  <c r="BV60" i="1"/>
  <c r="BI60" i="1"/>
  <c r="BC60" i="1"/>
  <c r="AO60" i="1"/>
  <c r="K60" i="1" s="1"/>
  <c r="AN60" i="1"/>
  <c r="BG60" i="1" s="1"/>
  <c r="AC60" i="1" s="1"/>
  <c r="AJ60" i="1"/>
  <c r="AI60" i="1"/>
  <c r="AR56" i="1" s="1"/>
  <c r="AG60" i="1"/>
  <c r="AF60" i="1"/>
  <c r="AE60" i="1"/>
  <c r="AB60" i="1"/>
  <c r="AA60" i="1"/>
  <c r="Y60" i="1"/>
  <c r="O60" i="1"/>
  <c r="BE60" i="1" s="1"/>
  <c r="L60" i="1"/>
  <c r="AK60" i="1" s="1"/>
  <c r="BV57" i="1"/>
  <c r="BI57" i="1"/>
  <c r="BE57" i="1"/>
  <c r="BC57" i="1"/>
  <c r="AO57" i="1"/>
  <c r="AW57" i="1" s="1"/>
  <c r="AN57" i="1"/>
  <c r="BG57" i="1" s="1"/>
  <c r="AC57" i="1" s="1"/>
  <c r="AJ57" i="1"/>
  <c r="AI57" i="1"/>
  <c r="AG57" i="1"/>
  <c r="AF57" i="1"/>
  <c r="AE57" i="1"/>
  <c r="AB57" i="1"/>
  <c r="AA57" i="1"/>
  <c r="Y57" i="1"/>
  <c r="O57" i="1"/>
  <c r="L57" i="1"/>
  <c r="M57" i="1" s="1"/>
  <c r="BV55" i="1"/>
  <c r="BI55" i="1"/>
  <c r="Y55" i="1" s="1"/>
  <c r="BC55" i="1"/>
  <c r="AO55" i="1"/>
  <c r="AW55" i="1" s="1"/>
  <c r="AN55" i="1"/>
  <c r="BG55" i="1" s="1"/>
  <c r="AJ55" i="1"/>
  <c r="AI55" i="1"/>
  <c r="AG55" i="1"/>
  <c r="AF55" i="1"/>
  <c r="AE55" i="1"/>
  <c r="AD55" i="1"/>
  <c r="AC55" i="1"/>
  <c r="AB55" i="1"/>
  <c r="AA55" i="1"/>
  <c r="O55" i="1"/>
  <c r="BE55" i="1" s="1"/>
  <c r="L55" i="1"/>
  <c r="AK55" i="1" s="1"/>
  <c r="K55" i="1"/>
  <c r="BV53" i="1"/>
  <c r="BI53" i="1"/>
  <c r="BC53" i="1"/>
  <c r="AO53" i="1"/>
  <c r="AW53" i="1" s="1"/>
  <c r="AN53" i="1"/>
  <c r="AV53" i="1" s="1"/>
  <c r="AJ53" i="1"/>
  <c r="AI53" i="1"/>
  <c r="AG53" i="1"/>
  <c r="AF53" i="1"/>
  <c r="AE53" i="1"/>
  <c r="AB53" i="1"/>
  <c r="AA53" i="1"/>
  <c r="Y53" i="1"/>
  <c r="O53" i="1"/>
  <c r="BE53" i="1" s="1"/>
  <c r="L53" i="1"/>
  <c r="BV51" i="1"/>
  <c r="BI51" i="1"/>
  <c r="BC51" i="1"/>
  <c r="AV51" i="1"/>
  <c r="AO51" i="1"/>
  <c r="AW51" i="1" s="1"/>
  <c r="AN51" i="1"/>
  <c r="BG51" i="1" s="1"/>
  <c r="AC51" i="1" s="1"/>
  <c r="AJ51" i="1"/>
  <c r="AI51" i="1"/>
  <c r="AG51" i="1"/>
  <c r="AF51" i="1"/>
  <c r="AE51" i="1"/>
  <c r="AB51" i="1"/>
  <c r="AA51" i="1"/>
  <c r="Y51" i="1"/>
  <c r="O51" i="1"/>
  <c r="BE51" i="1" s="1"/>
  <c r="L51" i="1"/>
  <c r="AK51" i="1" s="1"/>
  <c r="J51" i="1"/>
  <c r="BV49" i="1"/>
  <c r="BI49" i="1"/>
  <c r="BE49" i="1"/>
  <c r="BC49" i="1"/>
  <c r="AO49" i="1"/>
  <c r="AW49" i="1" s="1"/>
  <c r="AN49" i="1"/>
  <c r="AV49" i="1" s="1"/>
  <c r="AJ49" i="1"/>
  <c r="AI49" i="1"/>
  <c r="AG49" i="1"/>
  <c r="AF49" i="1"/>
  <c r="AE49" i="1"/>
  <c r="AB49" i="1"/>
  <c r="AA49" i="1"/>
  <c r="Y49" i="1"/>
  <c r="O49" i="1"/>
  <c r="L49" i="1"/>
  <c r="K49" i="1"/>
  <c r="J49" i="1"/>
  <c r="BV47" i="1"/>
  <c r="BI47" i="1"/>
  <c r="BC47" i="1"/>
  <c r="AO47" i="1"/>
  <c r="K47" i="1" s="1"/>
  <c r="AN47" i="1"/>
  <c r="BG47" i="1" s="1"/>
  <c r="AC47" i="1" s="1"/>
  <c r="AJ47" i="1"/>
  <c r="AI47" i="1"/>
  <c r="AG47" i="1"/>
  <c r="AF47" i="1"/>
  <c r="AE47" i="1"/>
  <c r="AB47" i="1"/>
  <c r="AA47" i="1"/>
  <c r="Y47" i="1"/>
  <c r="O47" i="1"/>
  <c r="BE47" i="1" s="1"/>
  <c r="L47" i="1"/>
  <c r="AK47" i="1" s="1"/>
  <c r="J47" i="1"/>
  <c r="BV45" i="1"/>
  <c r="BI45" i="1"/>
  <c r="BC45" i="1"/>
  <c r="AO45" i="1"/>
  <c r="AW45" i="1" s="1"/>
  <c r="AN45" i="1"/>
  <c r="AV45" i="1" s="1"/>
  <c r="AU45" i="1" s="1"/>
  <c r="AJ45" i="1"/>
  <c r="AI45" i="1"/>
  <c r="AG45" i="1"/>
  <c r="AF45" i="1"/>
  <c r="AE45" i="1"/>
  <c r="AD45" i="1"/>
  <c r="AC45" i="1"/>
  <c r="AB45" i="1"/>
  <c r="AA45" i="1"/>
  <c r="Y45" i="1"/>
  <c r="O45" i="1"/>
  <c r="BE45" i="1" s="1"/>
  <c r="L45" i="1"/>
  <c r="M45" i="1" s="1"/>
  <c r="BV43" i="1"/>
  <c r="BI43" i="1"/>
  <c r="BC43" i="1"/>
  <c r="AV43" i="1"/>
  <c r="AO43" i="1"/>
  <c r="AW43" i="1" s="1"/>
  <c r="AN43" i="1"/>
  <c r="BG43" i="1" s="1"/>
  <c r="AA43" i="1" s="1"/>
  <c r="AJ43" i="1"/>
  <c r="AI43" i="1"/>
  <c r="AG43" i="1"/>
  <c r="AF43" i="1"/>
  <c r="AE43" i="1"/>
  <c r="AD43" i="1"/>
  <c r="AC43" i="1"/>
  <c r="Y43" i="1"/>
  <c r="O43" i="1"/>
  <c r="BE43" i="1" s="1"/>
  <c r="L43" i="1"/>
  <c r="AK43" i="1" s="1"/>
  <c r="J43" i="1"/>
  <c r="BV37" i="1"/>
  <c r="BI37" i="1"/>
  <c r="BE37" i="1"/>
  <c r="BC37" i="1"/>
  <c r="AO37" i="1"/>
  <c r="AW37" i="1" s="1"/>
  <c r="AN37" i="1"/>
  <c r="BG37" i="1" s="1"/>
  <c r="AA37" i="1" s="1"/>
  <c r="AJ37" i="1"/>
  <c r="AI37" i="1"/>
  <c r="AG37" i="1"/>
  <c r="AF37" i="1"/>
  <c r="AE37" i="1"/>
  <c r="AD37" i="1"/>
  <c r="AC37" i="1"/>
  <c r="Y37" i="1"/>
  <c r="O37" i="1"/>
  <c r="L37" i="1"/>
  <c r="M37" i="1" s="1"/>
  <c r="K37" i="1"/>
  <c r="J37" i="1"/>
  <c r="BV31" i="1"/>
  <c r="BI31" i="1"/>
  <c r="BC31" i="1"/>
  <c r="AO31" i="1"/>
  <c r="AW31" i="1" s="1"/>
  <c r="AN31" i="1"/>
  <c r="BG31" i="1" s="1"/>
  <c r="AA31" i="1" s="1"/>
  <c r="AJ31" i="1"/>
  <c r="AI31" i="1"/>
  <c r="AG31" i="1"/>
  <c r="AF31" i="1"/>
  <c r="AE31" i="1"/>
  <c r="AD31" i="1"/>
  <c r="AC31" i="1"/>
  <c r="Y31" i="1"/>
  <c r="O31" i="1"/>
  <c r="BE31" i="1" s="1"/>
  <c r="L31" i="1"/>
  <c r="AK31" i="1" s="1"/>
  <c r="BV26" i="1"/>
  <c r="BI26" i="1"/>
  <c r="BE26" i="1"/>
  <c r="BC26" i="1"/>
  <c r="AO26" i="1"/>
  <c r="AW26" i="1" s="1"/>
  <c r="AN26" i="1"/>
  <c r="AV26" i="1" s="1"/>
  <c r="AU26" i="1" s="1"/>
  <c r="AJ26" i="1"/>
  <c r="AI26" i="1"/>
  <c r="AG26" i="1"/>
  <c r="AF26" i="1"/>
  <c r="AE26" i="1"/>
  <c r="AD26" i="1"/>
  <c r="AC26" i="1"/>
  <c r="Y26" i="1"/>
  <c r="O26" i="1"/>
  <c r="L26" i="1"/>
  <c r="M26" i="1" s="1"/>
  <c r="BV21" i="1"/>
  <c r="BI21" i="1"/>
  <c r="BC21" i="1"/>
  <c r="AV21" i="1"/>
  <c r="AO21" i="1"/>
  <c r="AW21" i="1" s="1"/>
  <c r="AN21" i="1"/>
  <c r="BG21" i="1" s="1"/>
  <c r="AA21" i="1" s="1"/>
  <c r="AJ21" i="1"/>
  <c r="AI21" i="1"/>
  <c r="AG21" i="1"/>
  <c r="AF21" i="1"/>
  <c r="AE21" i="1"/>
  <c r="AD21" i="1"/>
  <c r="AC21" i="1"/>
  <c r="Y21" i="1"/>
  <c r="O21" i="1"/>
  <c r="BE21" i="1" s="1"/>
  <c r="L21" i="1"/>
  <c r="AK21" i="1" s="1"/>
  <c r="K21" i="1"/>
  <c r="J21" i="1"/>
  <c r="BV19" i="1"/>
  <c r="BI19" i="1"/>
  <c r="BC19" i="1"/>
  <c r="AO19" i="1"/>
  <c r="AW19" i="1" s="1"/>
  <c r="AN19" i="1"/>
  <c r="AV19" i="1" s="1"/>
  <c r="AJ19" i="1"/>
  <c r="AI19" i="1"/>
  <c r="AG19" i="1"/>
  <c r="AF19" i="1"/>
  <c r="AE19" i="1"/>
  <c r="AD19" i="1"/>
  <c r="AC19" i="1"/>
  <c r="Y19" i="1"/>
  <c r="O19" i="1"/>
  <c r="BE19" i="1" s="1"/>
  <c r="L19" i="1"/>
  <c r="J19" i="1"/>
  <c r="BV17" i="1"/>
  <c r="BI17" i="1"/>
  <c r="BC17" i="1"/>
  <c r="AO17" i="1"/>
  <c r="AW17" i="1" s="1"/>
  <c r="AN17" i="1"/>
  <c r="BG17" i="1" s="1"/>
  <c r="AA17" i="1" s="1"/>
  <c r="AJ17" i="1"/>
  <c r="AI17" i="1"/>
  <c r="AG17" i="1"/>
  <c r="AF17" i="1"/>
  <c r="AE17" i="1"/>
  <c r="AD17" i="1"/>
  <c r="AC17" i="1"/>
  <c r="Y17" i="1"/>
  <c r="O17" i="1"/>
  <c r="BE17" i="1" s="1"/>
  <c r="L17" i="1"/>
  <c r="AK17" i="1" s="1"/>
  <c r="BV15" i="1"/>
  <c r="BI15" i="1"/>
  <c r="BE15" i="1"/>
  <c r="BC15" i="1"/>
  <c r="AO15" i="1"/>
  <c r="AW15" i="1" s="1"/>
  <c r="AN15" i="1"/>
  <c r="AV15" i="1" s="1"/>
  <c r="AU15" i="1" s="1"/>
  <c r="AJ15" i="1"/>
  <c r="AI15" i="1"/>
  <c r="AG15" i="1"/>
  <c r="AF15" i="1"/>
  <c r="AE15" i="1"/>
  <c r="AD15" i="1"/>
  <c r="AC15" i="1"/>
  <c r="Y15" i="1"/>
  <c r="O15" i="1"/>
  <c r="L15" i="1"/>
  <c r="M15" i="1" s="1"/>
  <c r="BV13" i="1"/>
  <c r="BI13" i="1"/>
  <c r="BC13" i="1"/>
  <c r="AV13" i="1"/>
  <c r="AO13" i="1"/>
  <c r="AW13" i="1" s="1"/>
  <c r="AN13" i="1"/>
  <c r="BG13" i="1" s="1"/>
  <c r="AA13" i="1" s="1"/>
  <c r="AJ13" i="1"/>
  <c r="AI13" i="1"/>
  <c r="AG13" i="1"/>
  <c r="AF13" i="1"/>
  <c r="AE13" i="1"/>
  <c r="AD13" i="1"/>
  <c r="AC13" i="1"/>
  <c r="Y13" i="1"/>
  <c r="O13" i="1"/>
  <c r="BE13" i="1" s="1"/>
  <c r="L13" i="1"/>
  <c r="AK13" i="1" s="1"/>
  <c r="J13" i="1"/>
  <c r="AT1" i="1"/>
  <c r="AS1" i="1"/>
  <c r="AR1" i="1"/>
  <c r="O56" i="1" l="1"/>
  <c r="M63" i="1"/>
  <c r="AR66" i="1"/>
  <c r="M19" i="1"/>
  <c r="M69" i="1"/>
  <c r="K66" i="1"/>
  <c r="O66" i="1"/>
  <c r="AS66" i="1"/>
  <c r="K71" i="1"/>
  <c r="BH71" i="1"/>
  <c r="M73" i="1"/>
  <c r="J72" i="1"/>
  <c r="M76" i="1"/>
  <c r="M75" i="1" s="1"/>
  <c r="BB26" i="1"/>
  <c r="AS46" i="1"/>
  <c r="J15" i="1"/>
  <c r="J12" i="1" s="1"/>
  <c r="AV31" i="1"/>
  <c r="J45" i="1"/>
  <c r="M49" i="1"/>
  <c r="J57" i="1"/>
  <c r="C28" i="4"/>
  <c r="F28" i="4" s="1"/>
  <c r="K15" i="1"/>
  <c r="BB19" i="1"/>
  <c r="K26" i="1"/>
  <c r="K45" i="1"/>
  <c r="O46" i="1"/>
  <c r="J53" i="1"/>
  <c r="K57" i="1"/>
  <c r="K56" i="1" s="1"/>
  <c r="M65" i="1"/>
  <c r="AV57" i="1"/>
  <c r="BB57" i="1" s="1"/>
  <c r="K65" i="1"/>
  <c r="AV67" i="1"/>
  <c r="J17" i="1"/>
  <c r="BH17" i="1"/>
  <c r="AB17" i="1" s="1"/>
  <c r="AV37" i="1"/>
  <c r="AU37" i="1" s="1"/>
  <c r="AV47" i="1"/>
  <c r="K53" i="1"/>
  <c r="AV55" i="1"/>
  <c r="BB55" i="1" s="1"/>
  <c r="L66" i="1"/>
  <c r="L15" i="2" s="1"/>
  <c r="N15" i="2" s="1"/>
  <c r="L75" i="1"/>
  <c r="L17" i="2" s="1"/>
  <c r="N17" i="2" s="1"/>
  <c r="C20" i="4"/>
  <c r="AV17" i="1"/>
  <c r="J26" i="1"/>
  <c r="AR46" i="1"/>
  <c r="AV60" i="1"/>
  <c r="O12" i="1"/>
  <c r="AS12" i="1"/>
  <c r="K17" i="1"/>
  <c r="J31" i="1"/>
  <c r="M53" i="1"/>
  <c r="J55" i="1"/>
  <c r="AS56" i="1"/>
  <c r="J60" i="1"/>
  <c r="J56" i="1" s="1"/>
  <c r="AV64" i="1"/>
  <c r="J67" i="1"/>
  <c r="J66" i="1" s="1"/>
  <c r="BE69" i="1"/>
  <c r="K31" i="1"/>
  <c r="BB51" i="1"/>
  <c r="AU51" i="1"/>
  <c r="BB71" i="1"/>
  <c r="AU71" i="1"/>
  <c r="BH43" i="1"/>
  <c r="AB43" i="1" s="1"/>
  <c r="AU49" i="1"/>
  <c r="BB49" i="1"/>
  <c r="K13" i="1"/>
  <c r="BB15" i="1"/>
  <c r="BH31" i="1"/>
  <c r="AB31" i="1" s="1"/>
  <c r="K43" i="1"/>
  <c r="AT12" i="1"/>
  <c r="AR12" i="1"/>
  <c r="BB17" i="1"/>
  <c r="AU17" i="1"/>
  <c r="BH21" i="1"/>
  <c r="AB21" i="1" s="1"/>
  <c r="BB37" i="1"/>
  <c r="BB45" i="1"/>
  <c r="AU53" i="1"/>
  <c r="BB53" i="1"/>
  <c r="AU57" i="1"/>
  <c r="BB31" i="1"/>
  <c r="AU31" i="1"/>
  <c r="C21" i="4"/>
  <c r="AU19" i="1"/>
  <c r="BB13" i="1"/>
  <c r="AU13" i="1"/>
  <c r="BB43" i="1"/>
  <c r="AU43" i="1"/>
  <c r="AU63" i="1"/>
  <c r="BB63" i="1"/>
  <c r="AU69" i="1"/>
  <c r="BB69" i="1"/>
  <c r="AU73" i="1"/>
  <c r="BB73" i="1"/>
  <c r="AU76" i="1"/>
  <c r="BB76" i="1"/>
  <c r="BH47" i="1"/>
  <c r="AD47" i="1" s="1"/>
  <c r="AW47" i="1"/>
  <c r="BH13" i="1"/>
  <c r="AB13" i="1" s="1"/>
  <c r="AU21" i="1"/>
  <c r="BB21" i="1"/>
  <c r="AU65" i="1"/>
  <c r="BB65" i="1"/>
  <c r="F29" i="5"/>
  <c r="C27" i="4"/>
  <c r="K51" i="1"/>
  <c r="K46" i="1" s="1"/>
  <c r="BH51" i="1"/>
  <c r="AD51" i="1" s="1"/>
  <c r="BH55" i="1"/>
  <c r="BH67" i="1"/>
  <c r="AD67" i="1" s="1"/>
  <c r="K74" i="1"/>
  <c r="K72" i="1" s="1"/>
  <c r="AK15" i="1"/>
  <c r="M17" i="1"/>
  <c r="M43" i="1"/>
  <c r="M47" i="1"/>
  <c r="M51" i="1"/>
  <c r="AK53" i="1"/>
  <c r="M55" i="1"/>
  <c r="AK57" i="1"/>
  <c r="M60" i="1"/>
  <c r="M56" i="1" s="1"/>
  <c r="AK63" i="1"/>
  <c r="M64" i="1"/>
  <c r="AK65" i="1"/>
  <c r="M67" i="1"/>
  <c r="AK69" i="1"/>
  <c r="AT66" i="1" s="1"/>
  <c r="M71" i="1"/>
  <c r="AK73" i="1"/>
  <c r="AT72" i="1" s="1"/>
  <c r="M74" i="1"/>
  <c r="M72" i="1" s="1"/>
  <c r="AK76" i="1"/>
  <c r="AT75" i="1" s="1"/>
  <c r="BH60" i="1"/>
  <c r="AD60" i="1" s="1"/>
  <c r="M13" i="1"/>
  <c r="AK19" i="1"/>
  <c r="M21" i="1"/>
  <c r="AK26" i="1"/>
  <c r="M31" i="1"/>
  <c r="AK37" i="1"/>
  <c r="AK45" i="1"/>
  <c r="AK49" i="1"/>
  <c r="BG15" i="1"/>
  <c r="AA15" i="1" s="1"/>
  <c r="BG19" i="1"/>
  <c r="AA19" i="1" s="1"/>
  <c r="BG26" i="1"/>
  <c r="AA26" i="1" s="1"/>
  <c r="BG45" i="1"/>
  <c r="BG49" i="1"/>
  <c r="AC49" i="1" s="1"/>
  <c r="BG53" i="1"/>
  <c r="AC53" i="1" s="1"/>
  <c r="AW60" i="1"/>
  <c r="BG63" i="1"/>
  <c r="AE63" i="1" s="1"/>
  <c r="C18" i="4" s="1"/>
  <c r="AW64" i="1"/>
  <c r="BG65" i="1"/>
  <c r="AC65" i="1" s="1"/>
  <c r="AW67" i="1"/>
  <c r="BG69" i="1"/>
  <c r="AC69" i="1" s="1"/>
  <c r="BG73" i="1"/>
  <c r="AC73" i="1" s="1"/>
  <c r="AW74" i="1"/>
  <c r="BG76" i="1"/>
  <c r="AA76" i="1" s="1"/>
  <c r="L12" i="1"/>
  <c r="L46" i="1"/>
  <c r="L13" i="2" s="1"/>
  <c r="N13" i="2" s="1"/>
  <c r="K19" i="1"/>
  <c r="BH26" i="1"/>
  <c r="AB26" i="1" s="1"/>
  <c r="BH37" i="1"/>
  <c r="AB37" i="1" s="1"/>
  <c r="BH45" i="1"/>
  <c r="BH49" i="1"/>
  <c r="AD49" i="1" s="1"/>
  <c r="BH53" i="1"/>
  <c r="AD53" i="1" s="1"/>
  <c r="BH57" i="1"/>
  <c r="AD57" i="1" s="1"/>
  <c r="BH63" i="1"/>
  <c r="AF63" i="1" s="1"/>
  <c r="C19" i="4" s="1"/>
  <c r="BH65" i="1"/>
  <c r="AD65" i="1" s="1"/>
  <c r="BH69" i="1"/>
  <c r="AD69" i="1" s="1"/>
  <c r="BH73" i="1"/>
  <c r="AD73" i="1" s="1"/>
  <c r="BH76" i="1"/>
  <c r="AB76" i="1" s="1"/>
  <c r="BH15" i="1"/>
  <c r="AB15" i="1" s="1"/>
  <c r="L72" i="1"/>
  <c r="L16" i="2" s="1"/>
  <c r="N16" i="2" s="1"/>
  <c r="BH64" i="1"/>
  <c r="AD64" i="1" s="1"/>
  <c r="L56" i="1"/>
  <c r="L14" i="2" s="1"/>
  <c r="N14" i="2" s="1"/>
  <c r="BH19" i="1"/>
  <c r="AB19" i="1" s="1"/>
  <c r="AU55" i="1" l="1"/>
  <c r="C16" i="4"/>
  <c r="J46" i="1"/>
  <c r="C17" i="4"/>
  <c r="AT46" i="1"/>
  <c r="C14" i="4"/>
  <c r="M66" i="1"/>
  <c r="BB64" i="1"/>
  <c r="AU64" i="1"/>
  <c r="M46" i="1"/>
  <c r="M12" i="1"/>
  <c r="L79" i="1"/>
  <c r="L12" i="2"/>
  <c r="N12" i="2" s="1"/>
  <c r="L18" i="2" s="1"/>
  <c r="I28" i="4"/>
  <c r="C15" i="4"/>
  <c r="C22" i="4" s="1"/>
  <c r="AU67" i="1"/>
  <c r="BB67" i="1"/>
  <c r="C29" i="4"/>
  <c r="F29" i="4" s="1"/>
  <c r="AU60" i="1"/>
  <c r="BB60" i="1"/>
  <c r="K12" i="1"/>
  <c r="BB74" i="1"/>
  <c r="AU74" i="1"/>
  <c r="AT56" i="1"/>
  <c r="AU47" i="1"/>
  <c r="BB47" i="1"/>
  <c r="I29" i="4" l="1"/>
  <c r="M79" i="1"/>
</calcChain>
</file>

<file path=xl/sharedStrings.xml><?xml version="1.0" encoding="utf-8"?>
<sst xmlns="http://schemas.openxmlformats.org/spreadsheetml/2006/main" count="1079" uniqueCount="234">
  <si>
    <t>Stavební rozpočet</t>
  </si>
  <si>
    <t>Název stavby:</t>
  </si>
  <si>
    <t>Oprava kaple Urbanice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</si>
  <si>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</si>
  <si>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</si>
  <si>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</si>
  <si>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</si>
  <si>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</si>
  <si>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</si>
  <si>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</si>
  <si>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</si>
  <si>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/>
  </si>
  <si>
    <t>Zhotovitel:</t>
  </si>
  <si>
    <t>JKSO:</t>
  </si>
  <si>
    <t>Zpracováno dne:</t>
  </si>
  <si>
    <t>15.02.2025</t>
  </si>
  <si>
    <t>Zpracoval:</t>
  </si>
  <si>
    <t>Martin Misař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</si>
  <si>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</si>
  <si>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</si>
  <si>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</si>
  <si>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</si>
  <si>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</si>
  <si>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</si>
  <si>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</si>
  <si>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</si>
  <si>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</si>
  <si>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</si>
  <si>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</si>
  <si>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</si>
  <si>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</si>
  <si>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</si>
  <si>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</si>
  <si>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</si>
  <si>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</si>
  <si>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</si>
  <si>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</si>
  <si>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</si>
  <si>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</si>
  <si>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</si>
  <si>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</si>
  <si>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</si>
  <si>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</si>
  <si>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</si>
  <si>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</si>
  <si>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</si>
  <si>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</si>
  <si>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</si>
  <si>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</si>
  <si>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</si>
  <si>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62</t>
  </si>
  <si>
    <t>Úprava povrchů vnější</t>
  </si>
  <si>
    <t>1</t>
  </si>
  <si>
    <t>978300020RA0</t>
  </si>
  <si>
    <t>Otlučení vnějších omítek stěn vápenocem.100 %</t>
  </si>
  <si>
    <t>m2</t>
  </si>
  <si>
    <t>21</t>
  </si>
  <si>
    <t>62_</t>
  </si>
  <si>
    <t>6_</t>
  </si>
  <si>
    <t>_</t>
  </si>
  <si>
    <t>(2,65+2,65+2,8+2,8)*0,54</t>
  </si>
  <si>
    <t>sokl</t>
  </si>
  <si>
    <t>2</t>
  </si>
  <si>
    <t>216903111R00</t>
  </si>
  <si>
    <t>Otryskání ploch pískem FP, stěn a rubů kleneb</t>
  </si>
  <si>
    <t>3</t>
  </si>
  <si>
    <t>602011121R00</t>
  </si>
  <si>
    <t>Omítka na stěnách jádrová cementová sanační Cemix, ručně</t>
  </si>
  <si>
    <t>4</t>
  </si>
  <si>
    <t>622434115RT1</t>
  </si>
  <si>
    <t>Omítkový odvlhčovací systém Cemix, vnější, vysoušecí cementová omítka 2x, vysoušecí vápenocementová jemná omítka</t>
  </si>
  <si>
    <t>5</t>
  </si>
  <si>
    <t>783801812R00x</t>
  </si>
  <si>
    <t>Odstranění nátěrů z omítek stěn, oškrabáním, vč.příplatku za složitost provedení</t>
  </si>
  <si>
    <t>2,67*2,3*2</t>
  </si>
  <si>
    <t>2x stěna</t>
  </si>
  <si>
    <t>2,8*(2,85-0,55)*2</t>
  </si>
  <si>
    <t>(0,2+0,44)*2,8*2</t>
  </si>
  <si>
    <t>šambrány</t>
  </si>
  <si>
    <t>2,2*2,2*0,5*2</t>
  </si>
  <si>
    <t>štíty</t>
  </si>
  <si>
    <t>6</t>
  </si>
  <si>
    <t>622421758R00</t>
  </si>
  <si>
    <t>Oprava vnější štukové omítky stěn, do 80 % plochy, stupeň složitosti V, ze suchých vápenných směsí</t>
  </si>
  <si>
    <t>7</t>
  </si>
  <si>
    <t>622471319RU4</t>
  </si>
  <si>
    <t>Nátěr nebo nástřik stěn vnějších, složitost 5, penetrace, 2x nátěr</t>
  </si>
  <si>
    <t>8</t>
  </si>
  <si>
    <t>620401162R00</t>
  </si>
  <si>
    <t>Nátěr hydrofobizační Hasit PP 405 Hydrophob 2x</t>
  </si>
  <si>
    <t>9</t>
  </si>
  <si>
    <t>620991121R00</t>
  </si>
  <si>
    <t>Zakrývání výplní vnějších otvorů z lešení</t>
  </si>
  <si>
    <t>1,2*0,8*2</t>
  </si>
  <si>
    <t>zakrytí oken</t>
  </si>
  <si>
    <t>10</t>
  </si>
  <si>
    <t>998011001R00</t>
  </si>
  <si>
    <t>Přesun hmot pro budovy zděné výšky do 6 m</t>
  </si>
  <si>
    <t>t</t>
  </si>
  <si>
    <t>762</t>
  </si>
  <si>
    <t>Konstrukce tesařské</t>
  </si>
  <si>
    <t>11</t>
  </si>
  <si>
    <t>762900030RAA</t>
  </si>
  <si>
    <t>Demontáž dřevěného krovu</t>
  </si>
  <si>
    <t>762_</t>
  </si>
  <si>
    <t>76_</t>
  </si>
  <si>
    <t>2,2*2,67*2</t>
  </si>
  <si>
    <t>plocha střechy</t>
  </si>
  <si>
    <t>12</t>
  </si>
  <si>
    <t>762342811R00</t>
  </si>
  <si>
    <t>Demontáž laťování střech, rozteč latí do 22 cm</t>
  </si>
  <si>
    <t>13</t>
  </si>
  <si>
    <t>762342814R00</t>
  </si>
  <si>
    <t>Demontáž dřevěných kontralatí</t>
  </si>
  <si>
    <t>14</t>
  </si>
  <si>
    <t>762100010RAB</t>
  </si>
  <si>
    <t>Krov dřevěný, laťování, bednění přesahu střechy, dvojité laťování, vč.impregnace</t>
  </si>
  <si>
    <t>15</t>
  </si>
  <si>
    <t>998762102R00</t>
  </si>
  <si>
    <t>Přesun hmot pro tesařské konstrukce, výšky do 12 m</t>
  </si>
  <si>
    <t>764</t>
  </si>
  <si>
    <t>Konstrukce klempířské</t>
  </si>
  <si>
    <t>16</t>
  </si>
  <si>
    <t>783900020R</t>
  </si>
  <si>
    <t>Odstranění nátěrů z kovových doplňkových kostrukcí, opálením, vč. příplatku za zvýšenou pracnost</t>
  </si>
  <si>
    <t>764_</t>
  </si>
  <si>
    <t>1,5*1*4</t>
  </si>
  <si>
    <t>věžička stěny</t>
  </si>
  <si>
    <t>0,9*1*0,5*4+1,3*0,5*4</t>
  </si>
  <si>
    <t>věžička špice</t>
  </si>
  <si>
    <t>17</t>
  </si>
  <si>
    <t>783520010R</t>
  </si>
  <si>
    <t>Nátěr klempířských konstrukcí syntetický, základní reaktivní a dvojnásobný krycí, vč. příplatku za zvýšenou pracnost</t>
  </si>
  <si>
    <t>18</t>
  </si>
  <si>
    <t>760811151R00x</t>
  </si>
  <si>
    <t>Demontáž korouhve s křížem</t>
  </si>
  <si>
    <t>kus</t>
  </si>
  <si>
    <t>19</t>
  </si>
  <si>
    <t>764211236RT2x</t>
  </si>
  <si>
    <t>Renovace korouhve a kříže - předběžná cena</t>
  </si>
  <si>
    <t>soubor</t>
  </si>
  <si>
    <t>20</t>
  </si>
  <si>
    <t>783522900R00x</t>
  </si>
  <si>
    <t>Oprava klempířských výrobků historickými postupy - předběžná cena</t>
  </si>
  <si>
    <t>765</t>
  </si>
  <si>
    <t>Krytina tvrdá</t>
  </si>
  <si>
    <t>765900010RAA</t>
  </si>
  <si>
    <t>Demontáž pálené krytiny, bobrovka</t>
  </si>
  <si>
    <t>765_</t>
  </si>
  <si>
    <t>22</t>
  </si>
  <si>
    <t>765319221RM4</t>
  </si>
  <si>
    <t>Montáž krytiny drážk.střech slož.na sucho do 12ks/m2, taška TONDACH Sensaton / Samba 11</t>
  </si>
  <si>
    <t>23</t>
  </si>
  <si>
    <t>998765101R00</t>
  </si>
  <si>
    <t>Přesun hmot pro krytiny tvrdé, výšky do 6 m</t>
  </si>
  <si>
    <t>766</t>
  </si>
  <si>
    <t>Konstrukce truhlářské</t>
  </si>
  <si>
    <t>24</t>
  </si>
  <si>
    <t>766660010R</t>
  </si>
  <si>
    <t>Demontáž, repase, zpětná montaž - dveře - předběžná cena</t>
  </si>
  <si>
    <t>766_</t>
  </si>
  <si>
    <t>25</t>
  </si>
  <si>
    <t>766660012R</t>
  </si>
  <si>
    <t>Demontáž, repase, zpětná montáž - okna - předběžná cena</t>
  </si>
  <si>
    <t>94</t>
  </si>
  <si>
    <t>Lešení a stavební výtahy</t>
  </si>
  <si>
    <t>26</t>
  </si>
  <si>
    <t>941940031RAA</t>
  </si>
  <si>
    <t>Lešení lehké fasádní, š. 1 m, výška do 10 m, montáž, demontáž, doprava, pronájem 1 měsíc</t>
  </si>
  <si>
    <t>94_</t>
  </si>
  <si>
    <t>9_</t>
  </si>
  <si>
    <t>4,6*3,6*2</t>
  </si>
  <si>
    <t>4,8*3,6*2</t>
  </si>
  <si>
    <t>Celkem:</t>
  </si>
  <si>
    <t>Poznámka:</t>
  </si>
  <si>
    <t>Stavební rozpočet - Jen podskupiny</t>
  </si>
  <si>
    <t>T</t>
  </si>
  <si>
    <t>Výkaz výměr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</si>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</sst>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" fontId="2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37" xfId="0" applyBorder="1"/>
    <xf numFmtId="0" fontId="0" fillId="0" borderId="38" xfId="0" applyBorder="1"/>
    <xf numFmtId="0" fontId="4" fillId="0" borderId="38" xfId="0" applyFont="1" applyBorder="1" applyAlignment="1">
      <alignment horizontal="left" vertical="center"/>
    </xf>
    <xf numFmtId="4" fontId="4" fillId="0" borderId="38" xfId="0" applyNumberFormat="1" applyFont="1" applyBorder="1" applyAlignment="1">
      <alignment horizontal="right" vertical="center"/>
    </xf>
    <xf numFmtId="4" fontId="2" fillId="0" borderId="4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4" fontId="3" fillId="0" borderId="36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right" vertical="center"/>
    </xf>
    <xf numFmtId="0" fontId="2" fillId="2" borderId="3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4" fontId="6" fillId="0" borderId="38" xfId="0" applyNumberFormat="1" applyFont="1" applyBorder="1" applyAlignment="1">
      <alignment horizontal="right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60" xfId="0" applyNumberFormat="1" applyFont="1" applyBorder="1" applyAlignment="1">
      <alignment horizontal="right" vertical="center"/>
    </xf>
    <xf numFmtId="0" fontId="3" fillId="0" borderId="60" xfId="0" applyFont="1" applyBorder="1" applyAlignment="1">
      <alignment horizontal="left" vertical="center"/>
    </xf>
    <xf numFmtId="4" fontId="3" fillId="0" borderId="82" xfId="0" applyNumberFormat="1" applyFont="1" applyBorder="1" applyAlignment="1">
      <alignment horizontal="right" vertical="center"/>
    </xf>
    <xf numFmtId="0" fontId="3" fillId="0" borderId="82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86" xfId="0" applyFont="1" applyBorder="1" applyAlignment="1">
      <alignment horizontal="right" vertical="center"/>
    </xf>
    <xf numFmtId="4" fontId="2" fillId="0" borderId="86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4" fontId="12" fillId="0" borderId="60" xfId="0" applyNumberFormat="1" applyFont="1" applyBorder="1" applyAlignment="1">
      <alignment horizontal="right" vertical="center"/>
    </xf>
    <xf numFmtId="0" fontId="13" fillId="0" borderId="0" xfId="0" applyFont="1"/>
    <xf numFmtId="0" fontId="11" fillId="0" borderId="63" xfId="0" applyFont="1" applyBorder="1" applyAlignment="1">
      <alignment horizontal="left" vertical="center"/>
    </xf>
    <xf numFmtId="0" fontId="12" fillId="0" borderId="60" xfId="0" applyFont="1" applyBorder="1" applyAlignment="1">
      <alignment horizontal="right" vertical="center"/>
    </xf>
    <xf numFmtId="4" fontId="12" fillId="0" borderId="67" xfId="0" applyNumberFormat="1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4" fontId="12" fillId="0" borderId="58" xfId="0" applyNumberFormat="1" applyFont="1" applyBorder="1" applyAlignment="1">
      <alignment horizontal="right" vertical="center"/>
    </xf>
    <xf numFmtId="4" fontId="12" fillId="0" borderId="29" xfId="0" applyNumberFormat="1" applyFont="1" applyBorder="1" applyAlignment="1">
      <alignment horizontal="right" vertical="center"/>
    </xf>
    <xf numFmtId="4" fontId="11" fillId="2" borderId="57" xfId="0" applyNumberFormat="1" applyFont="1" applyFill="1" applyBorder="1" applyAlignment="1">
      <alignment horizontal="right" vertical="center"/>
    </xf>
    <xf numFmtId="4" fontId="11" fillId="2" borderId="6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2" borderId="69" xfId="0" applyFont="1" applyFill="1" applyBorder="1" applyAlignment="1">
      <alignment horizontal="left" vertical="center"/>
    </xf>
    <xf numFmtId="0" fontId="11" fillId="2" borderId="70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71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61" xfId="0" applyFont="1" applyFill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84" xfId="0" applyFont="1" applyBorder="1" applyAlignment="1">
      <alignment horizontal="left" vertical="center"/>
    </xf>
    <xf numFmtId="0" fontId="10" fillId="0" borderId="85" xfId="0" applyFont="1" applyBorder="1" applyAlignment="1">
      <alignment horizontal="left" vertical="center"/>
    </xf>
    <xf numFmtId="4" fontId="10" fillId="0" borderId="87" xfId="0" applyNumberFormat="1" applyFont="1" applyBorder="1" applyAlignment="1">
      <alignment horizontal="right" vertical="center"/>
    </xf>
    <xf numFmtId="0" fontId="10" fillId="0" borderId="84" xfId="0" applyFont="1" applyBorder="1" applyAlignment="1">
      <alignment horizontal="right" vertical="center"/>
    </xf>
    <xf numFmtId="0" fontId="10" fillId="0" borderId="85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C41" sqref="C41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82" t="s">
        <v>178</v>
      </c>
      <c r="B1" s="83"/>
      <c r="C1" s="83"/>
      <c r="D1" s="83"/>
      <c r="E1" s="83"/>
      <c r="F1" s="83"/>
      <c r="G1" s="83"/>
      <c r="H1" s="83"/>
      <c r="I1" s="83"/>
    </row>
    <row r="2" spans="1:9" ht="14.4" x14ac:dyDescent="0.3">
      <c r="A2" s="84" t="s">
        <v>1</v>
      </c>
      <c r="B2" s="85"/>
      <c r="C2" s="94" t="str">
        <f>'Stavební rozpočet'!D2</f>
        <v>Oprava kaple Urbanice</v>
      </c>
      <c r="D2" s="95"/>
      <c r="E2" s="89" t="s">
        <v>5</v>
      </c>
      <c r="F2" s="89" t="str">
        <f>'Stavební rozpočet'!K2</f>
        <v> </v>
      </c>
      <c r="G2" s="85"/>
      <c r="H2" s="89" t="s">
        <v>179</v>
      </c>
      <c r="I2" s="91" t="s">
        <v>11</v>
      </c>
    </row>
    <row r="3" spans="1:9" ht="15" customHeight="1" x14ac:dyDescent="0.3">
      <c r="A3" s="86"/>
      <c r="B3" s="87"/>
      <c r="C3" s="96"/>
      <c r="D3" s="96"/>
      <c r="E3" s="87"/>
      <c r="F3" s="87"/>
      <c r="G3" s="87"/>
      <c r="H3" s="87"/>
      <c r="I3" s="92"/>
    </row>
    <row r="4" spans="1:9" ht="14.4" x14ac:dyDescent="0.3">
      <c r="A4" s="88" t="s">
        <v>7</v>
      </c>
      <c r="B4" s="87"/>
      <c r="C4" s="90" t="str">
        <f>'Stavební rozpočet'!D4</f>
        <v xml:space="preserve"> </v>
      </c>
      <c r="D4" s="87"/>
      <c r="E4" s="90" t="s">
        <v>9</v>
      </c>
      <c r="F4" s="90" t="str">
        <f>'Stavební rozpočet'!K4</f>
        <v> </v>
      </c>
      <c r="G4" s="87"/>
      <c r="H4" s="90" t="s">
        <v>179</v>
      </c>
      <c r="I4" s="92" t="s">
        <v>11</v>
      </c>
    </row>
    <row r="5" spans="1:9" ht="15" customHeight="1" x14ac:dyDescent="0.3">
      <c r="A5" s="86"/>
      <c r="B5" s="87"/>
      <c r="C5" s="87"/>
      <c r="D5" s="87"/>
      <c r="E5" s="87"/>
      <c r="F5" s="87"/>
      <c r="G5" s="87"/>
      <c r="H5" s="87"/>
      <c r="I5" s="92"/>
    </row>
    <row r="6" spans="1:9" ht="14.4" x14ac:dyDescent="0.3">
      <c r="A6" s="88" t="s">
        <v>10</v>
      </c>
      <c r="B6" s="87"/>
      <c r="C6" s="90" t="str">
        <f>'Stavební rozpočet'!D6</f>
        <v xml:space="preserve"> </v>
      </c>
      <c r="D6" s="87"/>
      <c r="E6" s="90" t="s">
        <v>12</v>
      </c>
      <c r="F6" s="90" t="str">
        <f>'Stavební rozpočet'!K6</f>
        <v> </v>
      </c>
      <c r="G6" s="87"/>
      <c r="H6" s="90" t="s">
        <v>179</v>
      </c>
      <c r="I6" s="92" t="s">
        <v>11</v>
      </c>
    </row>
    <row r="7" spans="1:9" ht="15" customHeight="1" x14ac:dyDescent="0.3">
      <c r="A7" s="86"/>
      <c r="B7" s="87"/>
      <c r="C7" s="87"/>
      <c r="D7" s="87"/>
      <c r="E7" s="87"/>
      <c r="F7" s="87"/>
      <c r="G7" s="87"/>
      <c r="H7" s="87"/>
      <c r="I7" s="92"/>
    </row>
    <row r="8" spans="1:9" ht="14.4" x14ac:dyDescent="0.3">
      <c r="A8" s="88" t="s">
        <v>8</v>
      </c>
      <c r="B8" s="87"/>
      <c r="C8" s="90" t="str">
        <f>'Stavební rozpočet'!H4</f>
        <v xml:space="preserve"> </v>
      </c>
      <c r="D8" s="87"/>
      <c r="E8" s="90" t="s">
        <v>11</v>
      </c>
      <c r="F8" s="90" t="str">
        <f>'Stavební rozpočet'!H6</f>
        <v xml:space="preserve"> </v>
      </c>
      <c r="G8" s="87"/>
      <c r="H8" s="87" t="s">
        <v>180</v>
      </c>
      <c r="I8" s="93">
        <v>26</v>
      </c>
    </row>
    <row r="9" spans="1:9" ht="14.4" x14ac:dyDescent="0.3">
      <c r="A9" s="86"/>
      <c r="B9" s="87"/>
      <c r="C9" s="87"/>
      <c r="D9" s="87"/>
      <c r="E9" s="87"/>
      <c r="F9" s="87"/>
      <c r="G9" s="87"/>
      <c r="H9" s="87"/>
      <c r="I9" s="92"/>
    </row>
    <row r="10" spans="1:9" ht="14.4" x14ac:dyDescent="0.3">
      <c r="A10" s="88" t="s">
        <v>13</v>
      </c>
      <c r="B10" s="87"/>
      <c r="C10" s="90" t="str">
        <f>'Stavební rozpočet'!D8</f>
        <v xml:space="preserve"> </v>
      </c>
      <c r="D10" s="87"/>
      <c r="E10" s="90" t="s">
        <v>16</v>
      </c>
      <c r="F10" s="90" t="str">
        <f>'Stavební rozpočet'!K8</f>
        <v>Martin Misař</v>
      </c>
      <c r="G10" s="87"/>
      <c r="H10" s="87" t="s">
        <v>181</v>
      </c>
      <c r="I10" s="98" t="str">
        <f>'Stavební rozpočet'!H8</f>
        <v>15.02.2025</v>
      </c>
    </row>
    <row r="11" spans="1:9" ht="14.4" x14ac:dyDescent="0.3">
      <c r="A11" s="103"/>
      <c r="B11" s="97"/>
      <c r="C11" s="97"/>
      <c r="D11" s="97"/>
      <c r="E11" s="97"/>
      <c r="F11" s="97"/>
      <c r="G11" s="97"/>
      <c r="H11" s="97"/>
      <c r="I11" s="99"/>
    </row>
    <row r="12" spans="1:9" ht="22.8" x14ac:dyDescent="0.3">
      <c r="A12" s="100" t="s">
        <v>182</v>
      </c>
      <c r="B12" s="100"/>
      <c r="C12" s="100"/>
      <c r="D12" s="100"/>
      <c r="E12" s="100"/>
      <c r="F12" s="100"/>
      <c r="G12" s="100"/>
      <c r="H12" s="100"/>
      <c r="I12" s="100"/>
    </row>
    <row r="13" spans="1:9" ht="26.25" customHeight="1" x14ac:dyDescent="0.3">
      <c r="A13" s="59" t="s">
        <v>183</v>
      </c>
      <c r="B13" s="101" t="s">
        <v>184</v>
      </c>
      <c r="C13" s="102"/>
      <c r="D13" s="60" t="s">
        <v>185</v>
      </c>
      <c r="E13" s="101" t="s">
        <v>186</v>
      </c>
      <c r="F13" s="102"/>
      <c r="G13" s="60" t="s">
        <v>187</v>
      </c>
      <c r="H13" s="101" t="s">
        <v>188</v>
      </c>
      <c r="I13" s="102"/>
    </row>
    <row r="14" spans="1:9" s="73" customFormat="1" ht="13.8" x14ac:dyDescent="0.3">
      <c r="A14" s="70" t="s">
        <v>189</v>
      </c>
      <c r="B14" s="71" t="s">
        <v>190</v>
      </c>
      <c r="C14" s="72">
        <f>SUM('Stavební rozpočet'!AA12:AA78)</f>
        <v>32354.061981248211</v>
      </c>
      <c r="D14" s="110" t="s">
        <v>191</v>
      </c>
      <c r="E14" s="111"/>
      <c r="F14" s="72">
        <f>VORN!I15</f>
        <v>0</v>
      </c>
      <c r="G14" s="110" t="s">
        <v>192</v>
      </c>
      <c r="H14" s="111"/>
      <c r="I14" s="72">
        <f>VORN!I21</f>
        <v>0</v>
      </c>
    </row>
    <row r="15" spans="1:9" s="73" customFormat="1" ht="13.8" x14ac:dyDescent="0.3">
      <c r="A15" s="74" t="s">
        <v>11</v>
      </c>
      <c r="B15" s="71" t="s">
        <v>34</v>
      </c>
      <c r="C15" s="72">
        <f>SUM('Stavební rozpočet'!AB12:AB78)</f>
        <v>145157.77447875176</v>
      </c>
      <c r="D15" s="110" t="s">
        <v>193</v>
      </c>
      <c r="E15" s="111"/>
      <c r="F15" s="72">
        <f>VORN!I16</f>
        <v>0</v>
      </c>
      <c r="G15" s="110" t="s">
        <v>194</v>
      </c>
      <c r="H15" s="111"/>
      <c r="I15" s="72">
        <f>VORN!I22</f>
        <v>0</v>
      </c>
    </row>
    <row r="16" spans="1:9" s="73" customFormat="1" ht="13.8" x14ac:dyDescent="0.3">
      <c r="A16" s="70" t="s">
        <v>195</v>
      </c>
      <c r="B16" s="71" t="s">
        <v>190</v>
      </c>
      <c r="C16" s="72">
        <f>SUM('Stavební rozpočet'!AC12:AC78)</f>
        <v>52963.612760655829</v>
      </c>
      <c r="D16" s="110" t="s">
        <v>196</v>
      </c>
      <c r="E16" s="111"/>
      <c r="F16" s="72">
        <f>VORN!I17</f>
        <v>0</v>
      </c>
      <c r="G16" s="110" t="s">
        <v>197</v>
      </c>
      <c r="H16" s="111"/>
      <c r="I16" s="72">
        <f>VORN!I23</f>
        <v>0</v>
      </c>
    </row>
    <row r="17" spans="1:9" s="73" customFormat="1" ht="13.8" x14ac:dyDescent="0.3">
      <c r="A17" s="74" t="s">
        <v>11</v>
      </c>
      <c r="B17" s="71" t="s">
        <v>34</v>
      </c>
      <c r="C17" s="72">
        <f>SUM('Stavební rozpočet'!AD12:AD78)</f>
        <v>103864.90259934415</v>
      </c>
      <c r="D17" s="110" t="s">
        <v>11</v>
      </c>
      <c r="E17" s="111"/>
      <c r="F17" s="75" t="s">
        <v>11</v>
      </c>
      <c r="G17" s="110" t="s">
        <v>198</v>
      </c>
      <c r="H17" s="111"/>
      <c r="I17" s="72">
        <f>VORN!I24</f>
        <v>0</v>
      </c>
    </row>
    <row r="18" spans="1:9" s="73" customFormat="1" ht="13.8" x14ac:dyDescent="0.3">
      <c r="A18" s="70" t="s">
        <v>199</v>
      </c>
      <c r="B18" s="71" t="s">
        <v>190</v>
      </c>
      <c r="C18" s="72">
        <f>SUM('Stavební rozpočet'!AE12:AE78)</f>
        <v>0</v>
      </c>
      <c r="D18" s="110" t="s">
        <v>11</v>
      </c>
      <c r="E18" s="111"/>
      <c r="F18" s="75" t="s">
        <v>11</v>
      </c>
      <c r="G18" s="110" t="s">
        <v>200</v>
      </c>
      <c r="H18" s="111"/>
      <c r="I18" s="72">
        <f>VORN!I25</f>
        <v>0</v>
      </c>
    </row>
    <row r="19" spans="1:9" s="73" customFormat="1" ht="13.8" x14ac:dyDescent="0.3">
      <c r="A19" s="74" t="s">
        <v>11</v>
      </c>
      <c r="B19" s="71" t="s">
        <v>34</v>
      </c>
      <c r="C19" s="72">
        <f>SUM('Stavební rozpočet'!AF12:AF78)</f>
        <v>1372.53</v>
      </c>
      <c r="D19" s="110" t="s">
        <v>11</v>
      </c>
      <c r="E19" s="111"/>
      <c r="F19" s="75" t="s">
        <v>11</v>
      </c>
      <c r="G19" s="110" t="s">
        <v>201</v>
      </c>
      <c r="H19" s="111"/>
      <c r="I19" s="72">
        <f>VORN!I26</f>
        <v>0</v>
      </c>
    </row>
    <row r="20" spans="1:9" s="73" customFormat="1" ht="13.8" x14ac:dyDescent="0.3">
      <c r="A20" s="104" t="s">
        <v>202</v>
      </c>
      <c r="B20" s="105"/>
      <c r="C20" s="72">
        <f>SUM('Stavební rozpočet'!AG12:AG78)</f>
        <v>0</v>
      </c>
      <c r="D20" s="110" t="s">
        <v>11</v>
      </c>
      <c r="E20" s="111"/>
      <c r="F20" s="75" t="s">
        <v>11</v>
      </c>
      <c r="G20" s="110" t="s">
        <v>11</v>
      </c>
      <c r="H20" s="111"/>
      <c r="I20" s="75" t="s">
        <v>11</v>
      </c>
    </row>
    <row r="21" spans="1:9" s="73" customFormat="1" ht="13.8" x14ac:dyDescent="0.3">
      <c r="A21" s="106" t="s">
        <v>203</v>
      </c>
      <c r="B21" s="107"/>
      <c r="C21" s="76">
        <f>SUM('Stavební rozpočet'!Y12:Y78)</f>
        <v>2644.5414899999996</v>
      </c>
      <c r="D21" s="112" t="s">
        <v>11</v>
      </c>
      <c r="E21" s="113"/>
      <c r="F21" s="77" t="s">
        <v>11</v>
      </c>
      <c r="G21" s="112" t="s">
        <v>11</v>
      </c>
      <c r="H21" s="113"/>
      <c r="I21" s="77" t="s">
        <v>11</v>
      </c>
    </row>
    <row r="22" spans="1:9" s="73" customFormat="1" ht="16.5" customHeight="1" x14ac:dyDescent="0.3">
      <c r="A22" s="108" t="s">
        <v>204</v>
      </c>
      <c r="B22" s="109"/>
      <c r="C22" s="78">
        <f>SUM(C14:C21)</f>
        <v>338357.42330999993</v>
      </c>
      <c r="D22" s="114" t="s">
        <v>205</v>
      </c>
      <c r="E22" s="109"/>
      <c r="F22" s="78">
        <f>SUM(F14:F21)</f>
        <v>0</v>
      </c>
      <c r="G22" s="114" t="s">
        <v>206</v>
      </c>
      <c r="H22" s="109"/>
      <c r="I22" s="78">
        <f>SUM(I14:I21)</f>
        <v>0</v>
      </c>
    </row>
    <row r="23" spans="1:9" s="73" customFormat="1" ht="13.8" x14ac:dyDescent="0.3">
      <c r="D23" s="104" t="s">
        <v>207</v>
      </c>
      <c r="E23" s="105"/>
      <c r="F23" s="79">
        <v>0</v>
      </c>
      <c r="G23" s="115" t="s">
        <v>208</v>
      </c>
      <c r="H23" s="105"/>
      <c r="I23" s="72">
        <v>0</v>
      </c>
    </row>
    <row r="24" spans="1:9" s="73" customFormat="1" ht="13.8" x14ac:dyDescent="0.3">
      <c r="G24" s="104" t="s">
        <v>209</v>
      </c>
      <c r="H24" s="105"/>
      <c r="I24" s="72">
        <f>vorn_sum</f>
        <v>0</v>
      </c>
    </row>
    <row r="25" spans="1:9" s="73" customFormat="1" ht="13.8" x14ac:dyDescent="0.3">
      <c r="G25" s="104" t="s">
        <v>210</v>
      </c>
      <c r="H25" s="105"/>
      <c r="I25" s="72">
        <v>0</v>
      </c>
    </row>
    <row r="26" spans="1:9" s="73" customFormat="1" ht="15" customHeight="1" x14ac:dyDescent="0.3"/>
    <row r="27" spans="1:9" s="73" customFormat="1" ht="13.8" x14ac:dyDescent="0.3">
      <c r="A27" s="116" t="s">
        <v>211</v>
      </c>
      <c r="B27" s="117"/>
      <c r="C27" s="80">
        <f>SUM('Stavební rozpočet'!AI12:AI78)</f>
        <v>0</v>
      </c>
    </row>
    <row r="28" spans="1:9" s="73" customFormat="1" ht="13.8" x14ac:dyDescent="0.3">
      <c r="A28" s="118" t="s">
        <v>212</v>
      </c>
      <c r="B28" s="119"/>
      <c r="C28" s="81">
        <f>SUM('Stavební rozpočet'!AJ12:AJ78)</f>
        <v>0</v>
      </c>
      <c r="D28" s="120" t="s">
        <v>213</v>
      </c>
      <c r="E28" s="117"/>
      <c r="F28" s="80">
        <f>ROUND(C28*(12/100),2)</f>
        <v>0</v>
      </c>
      <c r="G28" s="120" t="s">
        <v>214</v>
      </c>
      <c r="H28" s="117"/>
      <c r="I28" s="80">
        <f>SUM(C27:C29)</f>
        <v>338357.42330999998</v>
      </c>
    </row>
    <row r="29" spans="1:9" s="73" customFormat="1" ht="13.8" x14ac:dyDescent="0.3">
      <c r="A29" s="118" t="s">
        <v>215</v>
      </c>
      <c r="B29" s="119"/>
      <c r="C29" s="81">
        <f>SUM('Stavební rozpočet'!AK12:AK78)+(F22+I22+F23+I23+I24+I25)</f>
        <v>338357.42330999998</v>
      </c>
      <c r="D29" s="121" t="s">
        <v>216</v>
      </c>
      <c r="E29" s="119"/>
      <c r="F29" s="81">
        <f>ROUND(C29*(21/100),2)</f>
        <v>71055.06</v>
      </c>
      <c r="G29" s="121" t="s">
        <v>217</v>
      </c>
      <c r="H29" s="119"/>
      <c r="I29" s="81">
        <f>SUM(F28:F29)+I28</f>
        <v>409412.48330999998</v>
      </c>
    </row>
    <row r="30" spans="1:9" s="73" customFormat="1" ht="15" customHeight="1" x14ac:dyDescent="0.3"/>
    <row r="31" spans="1:9" s="73" customFormat="1" ht="13.8" x14ac:dyDescent="0.3">
      <c r="A31" s="131" t="s">
        <v>218</v>
      </c>
      <c r="B31" s="123"/>
      <c r="C31" s="124"/>
      <c r="D31" s="122" t="s">
        <v>219</v>
      </c>
      <c r="E31" s="123"/>
      <c r="F31" s="124"/>
      <c r="G31" s="122" t="s">
        <v>220</v>
      </c>
      <c r="H31" s="123"/>
      <c r="I31" s="124"/>
    </row>
    <row r="32" spans="1:9" s="73" customFormat="1" ht="13.8" x14ac:dyDescent="0.3">
      <c r="A32" s="132" t="s">
        <v>11</v>
      </c>
      <c r="B32" s="126"/>
      <c r="C32" s="127"/>
      <c r="D32" s="125" t="s">
        <v>11</v>
      </c>
      <c r="E32" s="126"/>
      <c r="F32" s="127"/>
      <c r="G32" s="125" t="s">
        <v>11</v>
      </c>
      <c r="H32" s="126"/>
      <c r="I32" s="127"/>
    </row>
    <row r="33" spans="1:9" s="73" customFormat="1" ht="13.8" x14ac:dyDescent="0.3">
      <c r="A33" s="132" t="s">
        <v>11</v>
      </c>
      <c r="B33" s="126"/>
      <c r="C33" s="127"/>
      <c r="D33" s="125" t="s">
        <v>11</v>
      </c>
      <c r="E33" s="126"/>
      <c r="F33" s="127"/>
      <c r="G33" s="125" t="s">
        <v>11</v>
      </c>
      <c r="H33" s="126"/>
      <c r="I33" s="127"/>
    </row>
    <row r="34" spans="1:9" s="73" customFormat="1" ht="13.8" x14ac:dyDescent="0.3">
      <c r="A34" s="132" t="s">
        <v>11</v>
      </c>
      <c r="B34" s="126"/>
      <c r="C34" s="127"/>
      <c r="D34" s="125" t="s">
        <v>11</v>
      </c>
      <c r="E34" s="126"/>
      <c r="F34" s="127"/>
      <c r="G34" s="125" t="s">
        <v>11</v>
      </c>
      <c r="H34" s="126"/>
      <c r="I34" s="127"/>
    </row>
    <row r="35" spans="1:9" s="73" customFormat="1" ht="13.8" x14ac:dyDescent="0.3">
      <c r="A35" s="133" t="s">
        <v>221</v>
      </c>
      <c r="B35" s="129"/>
      <c r="C35" s="130"/>
      <c r="D35" s="128" t="s">
        <v>221</v>
      </c>
      <c r="E35" s="129"/>
      <c r="F35" s="130"/>
      <c r="G35" s="128" t="s">
        <v>221</v>
      </c>
      <c r="H35" s="129"/>
      <c r="I35" s="130"/>
    </row>
    <row r="36" spans="1:9" ht="14.4" x14ac:dyDescent="0.3">
      <c r="A36" s="61" t="s">
        <v>174</v>
      </c>
    </row>
    <row r="37" spans="1:9" ht="12.75" customHeight="1" x14ac:dyDescent="0.3">
      <c r="A37" s="90" t="s">
        <v>11</v>
      </c>
      <c r="B37" s="87"/>
      <c r="C37" s="87"/>
      <c r="D37" s="87"/>
      <c r="E37" s="87"/>
      <c r="F37" s="87"/>
      <c r="G37" s="87"/>
      <c r="H37" s="87"/>
      <c r="I37" s="87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workbookViewId="0">
      <selection activeCell="A20" sqref="A20:L20"/>
    </sheetView>
  </sheetViews>
  <sheetFormatPr defaultColWidth="12.109375" defaultRowHeight="15" customHeight="1" x14ac:dyDescent="0.3"/>
  <cols>
    <col min="1" max="1" width="15.6640625" customWidth="1"/>
    <col min="2" max="2" width="8.21875" customWidth="1"/>
    <col min="3" max="3" width="15.6640625" hidden="1" customWidth="1"/>
    <col min="4" max="5" width="15.6640625" customWidth="1"/>
    <col min="6" max="6" width="1.88671875" customWidth="1"/>
    <col min="7" max="11" width="15.6640625" customWidth="1"/>
    <col min="12" max="12" width="14.33203125" customWidth="1"/>
    <col min="13" max="16" width="12.109375" hidden="1"/>
  </cols>
  <sheetData>
    <row r="1" spans="1:16" ht="54.75" customHeight="1" x14ac:dyDescent="0.3">
      <c r="A1" s="83" t="s">
        <v>175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 ht="14.4" x14ac:dyDescent="0.3">
      <c r="A2" s="84" t="s">
        <v>1</v>
      </c>
      <c r="B2" s="85"/>
      <c r="C2" s="85"/>
      <c r="D2" s="94" t="str">
        <f>'Stavební rozpočet'!D2</f>
        <v>Oprava kaple Urbanice</v>
      </c>
      <c r="E2" s="95"/>
      <c r="F2" s="95"/>
      <c r="G2" s="89" t="s">
        <v>3</v>
      </c>
      <c r="H2" s="89" t="str">
        <f>'Stavební rozpočet'!H2</f>
        <v xml:space="preserve"> </v>
      </c>
      <c r="I2" s="89" t="s">
        <v>5</v>
      </c>
      <c r="J2" s="89" t="str">
        <f>'Stavební rozpočet'!K2</f>
        <v> </v>
      </c>
      <c r="K2" s="85"/>
      <c r="L2" s="91"/>
    </row>
    <row r="3" spans="1:16" ht="15" customHeight="1" x14ac:dyDescent="0.3">
      <c r="A3" s="86"/>
      <c r="B3" s="87"/>
      <c r="C3" s="87"/>
      <c r="D3" s="96"/>
      <c r="E3" s="96"/>
      <c r="F3" s="96"/>
      <c r="G3" s="87"/>
      <c r="H3" s="87"/>
      <c r="I3" s="87"/>
      <c r="J3" s="87"/>
      <c r="K3" s="87"/>
      <c r="L3" s="92"/>
    </row>
    <row r="4" spans="1:16" ht="14.4" x14ac:dyDescent="0.3">
      <c r="A4" s="88" t="s">
        <v>7</v>
      </c>
      <c r="B4" s="87"/>
      <c r="C4" s="87"/>
      <c r="D4" s="90" t="str">
        <f>'Stavební rozpočet'!D4</f>
        <v xml:space="preserve"> </v>
      </c>
      <c r="E4" s="87"/>
      <c r="F4" s="87"/>
      <c r="G4" s="90" t="s">
        <v>8</v>
      </c>
      <c r="H4" s="90" t="str">
        <f>'Stavební rozpočet'!H4</f>
        <v xml:space="preserve"> </v>
      </c>
      <c r="I4" s="90" t="s">
        <v>9</v>
      </c>
      <c r="J4" s="90" t="str">
        <f>'Stavební rozpočet'!K4</f>
        <v> </v>
      </c>
      <c r="K4" s="87"/>
      <c r="L4" s="92"/>
    </row>
    <row r="5" spans="1:16" ht="15" customHeight="1" x14ac:dyDescent="0.3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92"/>
    </row>
    <row r="6" spans="1:16" ht="14.4" x14ac:dyDescent="0.3">
      <c r="A6" s="88" t="s">
        <v>10</v>
      </c>
      <c r="B6" s="87"/>
      <c r="C6" s="87"/>
      <c r="D6" s="90" t="str">
        <f>'Stavební rozpočet'!D6</f>
        <v xml:space="preserve"> </v>
      </c>
      <c r="E6" s="87"/>
      <c r="F6" s="87"/>
      <c r="G6" s="90" t="s">
        <v>11</v>
      </c>
      <c r="H6" s="90" t="str">
        <f>'Stavební rozpočet'!H6</f>
        <v xml:space="preserve"> </v>
      </c>
      <c r="I6" s="90" t="s">
        <v>12</v>
      </c>
      <c r="J6" s="90" t="str">
        <f>'Stavební rozpočet'!K6</f>
        <v> </v>
      </c>
      <c r="K6" s="87"/>
      <c r="L6" s="92"/>
    </row>
    <row r="7" spans="1:16" ht="15" customHeight="1" x14ac:dyDescent="0.3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92"/>
    </row>
    <row r="8" spans="1:16" ht="14.4" x14ac:dyDescent="0.3">
      <c r="A8" s="88" t="s">
        <v>13</v>
      </c>
      <c r="B8" s="87"/>
      <c r="C8" s="87"/>
      <c r="D8" s="90" t="str">
        <f>'Stavební rozpočet'!D8</f>
        <v xml:space="preserve"> </v>
      </c>
      <c r="E8" s="87"/>
      <c r="F8" s="87"/>
      <c r="G8" s="90" t="s">
        <v>14</v>
      </c>
      <c r="H8" s="90" t="str">
        <f>'Stavební rozpočet'!H8</f>
        <v>15.02.2025</v>
      </c>
      <c r="I8" s="90" t="s">
        <v>16</v>
      </c>
      <c r="J8" s="90" t="str">
        <f>'Stavební rozpočet'!K8</f>
        <v>Martin Misař</v>
      </c>
      <c r="K8" s="87"/>
      <c r="L8" s="92"/>
    </row>
    <row r="9" spans="1:16" ht="14.4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6"/>
    </row>
    <row r="10" spans="1:16" ht="14.4" x14ac:dyDescent="0.3">
      <c r="A10" s="137" t="s">
        <v>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9"/>
      <c r="L10" s="42" t="s">
        <v>26</v>
      </c>
    </row>
    <row r="11" spans="1:16" ht="14.4" x14ac:dyDescent="0.3">
      <c r="A11" s="141" t="s">
        <v>21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  <c r="L11" s="43" t="s">
        <v>35</v>
      </c>
    </row>
    <row r="12" spans="1:16" ht="14.4" x14ac:dyDescent="0.3">
      <c r="A12" s="144" t="s">
        <v>51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44">
        <f>'Stavební rozpočet'!L12</f>
        <v>163767.7064</v>
      </c>
      <c r="M12" s="45" t="s">
        <v>176</v>
      </c>
      <c r="N12" s="28">
        <f t="shared" ref="N12:N17" si="0">IF(M12="F",0,L12)</f>
        <v>163767.7064</v>
      </c>
      <c r="O12" s="3" t="s">
        <v>11</v>
      </c>
      <c r="P12" s="28">
        <f t="shared" ref="P12:P17" si="1">IF(M12="T",0,L12)</f>
        <v>0</v>
      </c>
    </row>
    <row r="13" spans="1:16" ht="14.4" x14ac:dyDescent="0.3">
      <c r="A13" s="86" t="s">
        <v>100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46">
        <f>'Stavební rozpočet'!L46</f>
        <v>28768.351070000001</v>
      </c>
      <c r="M13" s="45" t="s">
        <v>176</v>
      </c>
      <c r="N13" s="28">
        <f t="shared" si="0"/>
        <v>28768.351070000001</v>
      </c>
      <c r="O13" s="3" t="s">
        <v>11</v>
      </c>
      <c r="P13" s="28">
        <f t="shared" si="1"/>
        <v>0</v>
      </c>
    </row>
    <row r="14" spans="1:16" ht="14.4" x14ac:dyDescent="0.3">
      <c r="A14" s="86" t="s">
        <v>121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46">
        <f>'Stavební rozpočet'!L56</f>
        <v>62826.509999999995</v>
      </c>
      <c r="M14" s="45" t="s">
        <v>176</v>
      </c>
      <c r="N14" s="28">
        <f t="shared" si="0"/>
        <v>62826.509999999995</v>
      </c>
      <c r="O14" s="3" t="s">
        <v>11</v>
      </c>
      <c r="P14" s="28">
        <f t="shared" si="1"/>
        <v>0</v>
      </c>
    </row>
    <row r="15" spans="1:16" ht="14.4" x14ac:dyDescent="0.3">
      <c r="A15" s="86" t="s">
        <v>145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46">
        <f>'Stavební rozpočet'!L66</f>
        <v>18273.779039999998</v>
      </c>
      <c r="M15" s="45" t="s">
        <v>176</v>
      </c>
      <c r="N15" s="28">
        <f t="shared" si="0"/>
        <v>18273.779039999998</v>
      </c>
      <c r="O15" s="3" t="s">
        <v>11</v>
      </c>
      <c r="P15" s="28">
        <f t="shared" si="1"/>
        <v>0</v>
      </c>
    </row>
    <row r="16" spans="1:16" ht="14.4" x14ac:dyDescent="0.3">
      <c r="A16" s="86" t="s">
        <v>156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46">
        <f>'Stavební rozpočet'!L72</f>
        <v>50000</v>
      </c>
      <c r="M16" s="45" t="s">
        <v>176</v>
      </c>
      <c r="N16" s="28">
        <f t="shared" si="0"/>
        <v>50000</v>
      </c>
      <c r="O16" s="3" t="s">
        <v>11</v>
      </c>
      <c r="P16" s="28">
        <f t="shared" si="1"/>
        <v>0</v>
      </c>
    </row>
    <row r="17" spans="1:16" ht="14.4" x14ac:dyDescent="0.3">
      <c r="A17" s="103" t="s">
        <v>165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49">
        <f>'Stavební rozpočet'!L75</f>
        <v>14721.076800000001</v>
      </c>
      <c r="M17" s="45" t="s">
        <v>176</v>
      </c>
      <c r="N17" s="28">
        <f t="shared" si="0"/>
        <v>14721.076800000001</v>
      </c>
      <c r="O17" s="3" t="s">
        <v>11</v>
      </c>
      <c r="P17" s="28">
        <f t="shared" si="1"/>
        <v>0</v>
      </c>
    </row>
    <row r="18" spans="1:16" ht="14.4" x14ac:dyDescent="0.3">
      <c r="J18" s="140" t="s">
        <v>173</v>
      </c>
      <c r="K18" s="140"/>
      <c r="L18" s="40">
        <f>SUM(N12:N17)</f>
        <v>338357.42330999998</v>
      </c>
    </row>
    <row r="19" spans="1:16" ht="14.4" x14ac:dyDescent="0.3">
      <c r="A19" s="41" t="s">
        <v>174</v>
      </c>
    </row>
    <row r="20" spans="1:16" ht="12.75" customHeight="1" x14ac:dyDescent="0.3">
      <c r="A20" s="90" t="s">
        <v>11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</sheetData>
  <mergeCells count="35">
    <mergeCell ref="A16:K16"/>
    <mergeCell ref="A17:K17"/>
    <mergeCell ref="J18:K18"/>
    <mergeCell ref="A20:L20"/>
    <mergeCell ref="A11:K11"/>
    <mergeCell ref="A12:K12"/>
    <mergeCell ref="A13:K13"/>
    <mergeCell ref="A14:K14"/>
    <mergeCell ref="A15:K15"/>
    <mergeCell ref="J2:L3"/>
    <mergeCell ref="J4:L5"/>
    <mergeCell ref="J6:L7"/>
    <mergeCell ref="J8:L9"/>
    <mergeCell ref="A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81"/>
  <sheetViews>
    <sheetView workbookViewId="0">
      <selection activeCell="D43" sqref="D43:E43"/>
    </sheetView>
  </sheetViews>
  <sheetFormatPr defaultColWidth="12.109375" defaultRowHeight="15" customHeight="1" x14ac:dyDescent="0.3"/>
  <cols>
    <col min="1" max="1" width="4" customWidth="1"/>
    <col min="2" max="2" width="7.5546875" customWidth="1"/>
    <col min="3" max="3" width="17.88671875" customWidth="1"/>
    <col min="4" max="4" width="42.88671875" customWidth="1"/>
    <col min="5" max="5" width="35.6640625" customWidth="1"/>
    <col min="6" max="6" width="8" customWidth="1"/>
    <col min="7" max="7" width="12.88671875" customWidth="1"/>
    <col min="8" max="8" width="12" customWidth="1"/>
    <col min="9" max="9" width="11.109375" customWidth="1"/>
    <col min="10" max="13" width="15.6640625" customWidth="1"/>
    <col min="14" max="15" width="11.6640625" customWidth="1"/>
    <col min="24" max="74" width="12.109375" hidden="1"/>
    <col min="75" max="75" width="78.5546875" hidden="1" customWidth="1"/>
    <col min="76" max="77" width="12.109375" hidden="1"/>
  </cols>
  <sheetData>
    <row r="1" spans="1:75" ht="54.7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AR1" s="1">
        <f>SUM(AI1:AI2)</f>
        <v>0</v>
      </c>
      <c r="AS1" s="1">
        <f>SUM(AJ1:AJ2)</f>
        <v>0</v>
      </c>
      <c r="AT1" s="1">
        <f>SUM(AK1:AK2)</f>
        <v>0</v>
      </c>
    </row>
    <row r="2" spans="1:75" ht="14.4" x14ac:dyDescent="0.3">
      <c r="A2" s="84" t="s">
        <v>1</v>
      </c>
      <c r="B2" s="85"/>
      <c r="C2" s="85"/>
      <c r="D2" s="94" t="s">
        <v>2</v>
      </c>
      <c r="E2" s="95"/>
      <c r="F2" s="85" t="s">
        <v>3</v>
      </c>
      <c r="G2" s="85"/>
      <c r="H2" s="85" t="s">
        <v>4</v>
      </c>
      <c r="I2" s="89" t="s">
        <v>5</v>
      </c>
      <c r="J2" s="85"/>
      <c r="K2" s="85" t="s">
        <v>6</v>
      </c>
      <c r="L2" s="85"/>
      <c r="M2" s="85"/>
      <c r="N2" s="85"/>
      <c r="O2" s="85"/>
    </row>
    <row r="3" spans="1:75" ht="14.4" x14ac:dyDescent="0.3">
      <c r="A3" s="86"/>
      <c r="B3" s="87"/>
      <c r="C3" s="87"/>
      <c r="D3" s="96"/>
      <c r="E3" s="96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75" ht="14.4" x14ac:dyDescent="0.3">
      <c r="A4" s="88" t="s">
        <v>7</v>
      </c>
      <c r="B4" s="87"/>
      <c r="C4" s="87"/>
      <c r="D4" s="90" t="s">
        <v>4</v>
      </c>
      <c r="E4" s="87"/>
      <c r="F4" s="87" t="s">
        <v>8</v>
      </c>
      <c r="G4" s="87"/>
      <c r="H4" s="87" t="s">
        <v>4</v>
      </c>
      <c r="I4" s="90" t="s">
        <v>9</v>
      </c>
      <c r="J4" s="87"/>
      <c r="K4" s="87" t="s">
        <v>6</v>
      </c>
      <c r="L4" s="87"/>
      <c r="M4" s="87"/>
      <c r="N4" s="87"/>
      <c r="O4" s="87"/>
    </row>
    <row r="5" spans="1:75" ht="14.4" x14ac:dyDescent="0.3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75" ht="14.4" x14ac:dyDescent="0.3">
      <c r="A6" s="88" t="s">
        <v>10</v>
      </c>
      <c r="B6" s="87"/>
      <c r="C6" s="87"/>
      <c r="D6" s="90" t="s">
        <v>4</v>
      </c>
      <c r="E6" s="87"/>
      <c r="F6" s="87" t="s">
        <v>11</v>
      </c>
      <c r="G6" s="87"/>
      <c r="H6" s="87" t="s">
        <v>4</v>
      </c>
      <c r="I6" s="90" t="s">
        <v>12</v>
      </c>
      <c r="J6" s="87"/>
      <c r="K6" s="87" t="s">
        <v>6</v>
      </c>
      <c r="L6" s="87"/>
      <c r="M6" s="87"/>
      <c r="N6" s="87"/>
      <c r="O6" s="87"/>
    </row>
    <row r="7" spans="1:75" ht="14.4" x14ac:dyDescent="0.3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1:75" ht="14.4" x14ac:dyDescent="0.3">
      <c r="A8" s="88" t="s">
        <v>13</v>
      </c>
      <c r="B8" s="87"/>
      <c r="C8" s="87"/>
      <c r="D8" s="90" t="s">
        <v>4</v>
      </c>
      <c r="E8" s="87"/>
      <c r="F8" s="87" t="s">
        <v>14</v>
      </c>
      <c r="G8" s="87"/>
      <c r="H8" s="87" t="s">
        <v>15</v>
      </c>
      <c r="I8" s="90" t="s">
        <v>16</v>
      </c>
      <c r="J8" s="87"/>
      <c r="K8" s="90" t="s">
        <v>17</v>
      </c>
      <c r="L8" s="87"/>
      <c r="M8" s="87"/>
      <c r="N8" s="87"/>
      <c r="O8" s="87"/>
    </row>
    <row r="9" spans="1:75" ht="14.4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spans="1:75" ht="14.4" x14ac:dyDescent="0.3">
      <c r="A10" s="5" t="s">
        <v>18</v>
      </c>
      <c r="B10" s="6" t="s">
        <v>19</v>
      </c>
      <c r="C10" s="6" t="s">
        <v>20</v>
      </c>
      <c r="D10" s="146" t="s">
        <v>21</v>
      </c>
      <c r="E10" s="147"/>
      <c r="F10" s="6" t="s">
        <v>22</v>
      </c>
      <c r="G10" s="7" t="s">
        <v>23</v>
      </c>
      <c r="H10" s="8" t="s">
        <v>24</v>
      </c>
      <c r="I10" s="9" t="s">
        <v>25</v>
      </c>
      <c r="J10" s="149" t="s">
        <v>26</v>
      </c>
      <c r="K10" s="150"/>
      <c r="L10" s="151"/>
      <c r="M10" s="10" t="s">
        <v>26</v>
      </c>
      <c r="N10" s="152" t="s">
        <v>27</v>
      </c>
      <c r="O10" s="153"/>
      <c r="BJ10" s="11" t="s">
        <v>28</v>
      </c>
      <c r="BK10" s="12" t="s">
        <v>29</v>
      </c>
      <c r="BV10" s="12" t="s">
        <v>30</v>
      </c>
    </row>
    <row r="11" spans="1:75" ht="14.4" x14ac:dyDescent="0.3">
      <c r="A11" s="13" t="s">
        <v>4</v>
      </c>
      <c r="B11" s="14" t="s">
        <v>4</v>
      </c>
      <c r="C11" s="14" t="s">
        <v>4</v>
      </c>
      <c r="D11" s="148" t="s">
        <v>31</v>
      </c>
      <c r="E11" s="143"/>
      <c r="F11" s="14" t="s">
        <v>4</v>
      </c>
      <c r="G11" s="14" t="s">
        <v>4</v>
      </c>
      <c r="H11" s="15" t="s">
        <v>32</v>
      </c>
      <c r="I11" s="16" t="s">
        <v>4</v>
      </c>
      <c r="J11" s="17" t="s">
        <v>33</v>
      </c>
      <c r="K11" s="18" t="s">
        <v>34</v>
      </c>
      <c r="L11" s="19" t="s">
        <v>35</v>
      </c>
      <c r="M11" s="20" t="s">
        <v>36</v>
      </c>
      <c r="N11" s="21" t="s">
        <v>37</v>
      </c>
      <c r="O11" s="22" t="s">
        <v>35</v>
      </c>
      <c r="Y11" s="11" t="s">
        <v>38</v>
      </c>
      <c r="Z11" s="11" t="s">
        <v>39</v>
      </c>
      <c r="AA11" s="11" t="s">
        <v>40</v>
      </c>
      <c r="AB11" s="11" t="s">
        <v>41</v>
      </c>
      <c r="AC11" s="11" t="s">
        <v>42</v>
      </c>
      <c r="AD11" s="11" t="s">
        <v>43</v>
      </c>
      <c r="AE11" s="11" t="s">
        <v>44</v>
      </c>
      <c r="AF11" s="11" t="s">
        <v>45</v>
      </c>
      <c r="AG11" s="11" t="s">
        <v>46</v>
      </c>
      <c r="BG11" s="11" t="s">
        <v>47</v>
      </c>
      <c r="BH11" s="11" t="s">
        <v>48</v>
      </c>
      <c r="BI11" s="11" t="s">
        <v>49</v>
      </c>
    </row>
    <row r="12" spans="1:75" ht="14.4" x14ac:dyDescent="0.3">
      <c r="A12" s="23" t="s">
        <v>11</v>
      </c>
      <c r="B12" s="24" t="s">
        <v>11</v>
      </c>
      <c r="C12" s="24" t="s">
        <v>50</v>
      </c>
      <c r="D12" s="154" t="s">
        <v>51</v>
      </c>
      <c r="E12" s="155"/>
      <c r="F12" s="25" t="s">
        <v>4</v>
      </c>
      <c r="G12" s="25" t="s">
        <v>4</v>
      </c>
      <c r="H12" s="25" t="s">
        <v>4</v>
      </c>
      <c r="I12" s="25" t="s">
        <v>4</v>
      </c>
      <c r="J12" s="26">
        <f>SUM(J13:J45)</f>
        <v>32352.031576730569</v>
      </c>
      <c r="K12" s="26">
        <f>SUM(K13:K45)</f>
        <v>131415.67482326939</v>
      </c>
      <c r="L12" s="26">
        <f>SUM(L13:L45)</f>
        <v>163767.7064</v>
      </c>
      <c r="M12" s="26">
        <f>SUM(M13:M45)</f>
        <v>198158.92474399999</v>
      </c>
      <c r="N12" s="27" t="s">
        <v>11</v>
      </c>
      <c r="O12" s="26">
        <f>SUM(O13:O45)</f>
        <v>2.3068365999999996</v>
      </c>
      <c r="AH12" s="11" t="s">
        <v>11</v>
      </c>
      <c r="AR12" s="1">
        <f>SUM(AI13:AI45)</f>
        <v>0</v>
      </c>
      <c r="AS12" s="1">
        <f>SUM(AJ13:AJ45)</f>
        <v>0</v>
      </c>
      <c r="AT12" s="1">
        <f>SUM(AK13:AK45)</f>
        <v>163767.7064</v>
      </c>
    </row>
    <row r="13" spans="1:75" ht="14.4" x14ac:dyDescent="0.3">
      <c r="A13" s="2" t="s">
        <v>52</v>
      </c>
      <c r="B13" s="3" t="s">
        <v>11</v>
      </c>
      <c r="C13" s="3" t="s">
        <v>53</v>
      </c>
      <c r="D13" s="90" t="s">
        <v>54</v>
      </c>
      <c r="E13" s="87"/>
      <c r="F13" s="3" t="s">
        <v>55</v>
      </c>
      <c r="G13" s="28">
        <v>5.8860000000000001</v>
      </c>
      <c r="H13" s="28">
        <v>299.52</v>
      </c>
      <c r="I13" s="29" t="s">
        <v>56</v>
      </c>
      <c r="J13" s="28">
        <f>G13*AN13</f>
        <v>0</v>
      </c>
      <c r="K13" s="28">
        <f>G13*AO13</f>
        <v>1762.9747199999999</v>
      </c>
      <c r="L13" s="28">
        <f>G13*H13</f>
        <v>1762.9747199999999</v>
      </c>
      <c r="M13" s="28">
        <f>L13*(1+BV13/100)</f>
        <v>2133.1994111999998</v>
      </c>
      <c r="N13" s="28">
        <v>9.1999999999999998E-2</v>
      </c>
      <c r="O13" s="28">
        <f>G13*N13</f>
        <v>0.54151199999999999</v>
      </c>
      <c r="Y13" s="28">
        <f>IF(AP13="5",BI13,0)</f>
        <v>0</v>
      </c>
      <c r="AA13" s="28">
        <f>IF(AP13="1",BG13,0)</f>
        <v>0</v>
      </c>
      <c r="AB13" s="28">
        <f>IF(AP13="1",BH13,0)</f>
        <v>1762.9747199999999</v>
      </c>
      <c r="AC13" s="28">
        <f>IF(AP13="7",BG13,0)</f>
        <v>0</v>
      </c>
      <c r="AD13" s="28">
        <f>IF(AP13="7",BH13,0)</f>
        <v>0</v>
      </c>
      <c r="AE13" s="28">
        <f>IF(AP13="2",BG13,0)</f>
        <v>0</v>
      </c>
      <c r="AF13" s="28">
        <f>IF(AP13="2",BH13,0)</f>
        <v>0</v>
      </c>
      <c r="AG13" s="28">
        <f>IF(AP13="0",BI13,0)</f>
        <v>0</v>
      </c>
      <c r="AH13" s="11" t="s">
        <v>11</v>
      </c>
      <c r="AI13" s="28">
        <f>IF(AM13=0,L13,0)</f>
        <v>0</v>
      </c>
      <c r="AJ13" s="28">
        <f>IF(AM13=12,L13,0)</f>
        <v>0</v>
      </c>
      <c r="AK13" s="28">
        <f>IF(AM13=21,L13,0)</f>
        <v>1762.9747199999999</v>
      </c>
      <c r="AM13" s="28">
        <v>21</v>
      </c>
      <c r="AN13" s="28">
        <f>H13*0</f>
        <v>0</v>
      </c>
      <c r="AO13" s="28">
        <f>H13*(1-0)</f>
        <v>299.52</v>
      </c>
      <c r="AP13" s="29" t="s">
        <v>52</v>
      </c>
      <c r="AU13" s="28">
        <f>AV13+AW13</f>
        <v>1762.9747199999999</v>
      </c>
      <c r="AV13" s="28">
        <f>G13*AN13</f>
        <v>0</v>
      </c>
      <c r="AW13" s="28">
        <f>G13*AO13</f>
        <v>1762.9747199999999</v>
      </c>
      <c r="AX13" s="29" t="s">
        <v>57</v>
      </c>
      <c r="AY13" s="29" t="s">
        <v>58</v>
      </c>
      <c r="AZ13" s="11" t="s">
        <v>59</v>
      </c>
      <c r="BB13" s="28">
        <f>AV13+AW13</f>
        <v>1762.9747199999999</v>
      </c>
      <c r="BC13" s="28">
        <f>H13/(100-BD13)*100</f>
        <v>299.52</v>
      </c>
      <c r="BD13" s="28">
        <v>0</v>
      </c>
      <c r="BE13" s="28">
        <f>O13</f>
        <v>0.54151199999999999</v>
      </c>
      <c r="BG13" s="28">
        <f>G13*AN13</f>
        <v>0</v>
      </c>
      <c r="BH13" s="28">
        <f>G13*AO13</f>
        <v>1762.9747199999999</v>
      </c>
      <c r="BI13" s="28">
        <f>G13*H13</f>
        <v>1762.9747199999999</v>
      </c>
      <c r="BJ13" s="28"/>
      <c r="BK13" s="28">
        <v>62</v>
      </c>
      <c r="BV13" s="28" t="str">
        <f>I13</f>
        <v>21</v>
      </c>
      <c r="BW13" s="4" t="s">
        <v>54</v>
      </c>
    </row>
    <row r="14" spans="1:75" ht="14.4" x14ac:dyDescent="0.3">
      <c r="A14" s="30"/>
      <c r="D14" s="31" t="s">
        <v>60</v>
      </c>
      <c r="E14" s="31" t="s">
        <v>61</v>
      </c>
      <c r="G14" s="32">
        <v>5.8860000000000001</v>
      </c>
    </row>
    <row r="15" spans="1:75" ht="14.4" x14ac:dyDescent="0.3">
      <c r="A15" s="2" t="s">
        <v>62</v>
      </c>
      <c r="B15" s="3" t="s">
        <v>11</v>
      </c>
      <c r="C15" s="3" t="s">
        <v>63</v>
      </c>
      <c r="D15" s="90" t="s">
        <v>64</v>
      </c>
      <c r="E15" s="87"/>
      <c r="F15" s="3" t="s">
        <v>55</v>
      </c>
      <c r="G15" s="28">
        <v>5.8860000000000001</v>
      </c>
      <c r="H15" s="28">
        <v>786.01</v>
      </c>
      <c r="I15" s="29" t="s">
        <v>56</v>
      </c>
      <c r="J15" s="28">
        <f>G15*AN15</f>
        <v>627.62483854887091</v>
      </c>
      <c r="K15" s="28">
        <f>G15*AO15</f>
        <v>3998.8300214511291</v>
      </c>
      <c r="L15" s="28">
        <f>G15*H15</f>
        <v>4626.4548599999998</v>
      </c>
      <c r="M15" s="28">
        <f>L15*(1+BV15/100)</f>
        <v>5598.0103805999997</v>
      </c>
      <c r="N15" s="28">
        <v>5.076E-2</v>
      </c>
      <c r="O15" s="28">
        <f>G15*N15</f>
        <v>0.29877335999999999</v>
      </c>
      <c r="Y15" s="28">
        <f>IF(AP15="5",BI15,0)</f>
        <v>0</v>
      </c>
      <c r="AA15" s="28">
        <f>IF(AP15="1",BG15,0)</f>
        <v>627.62483854887091</v>
      </c>
      <c r="AB15" s="28">
        <f>IF(AP15="1",BH15,0)</f>
        <v>3998.8300214511291</v>
      </c>
      <c r="AC15" s="28">
        <f>IF(AP15="7",BG15,0)</f>
        <v>0</v>
      </c>
      <c r="AD15" s="28">
        <f>IF(AP15="7",BH15,0)</f>
        <v>0</v>
      </c>
      <c r="AE15" s="28">
        <f>IF(AP15="2",BG15,0)</f>
        <v>0</v>
      </c>
      <c r="AF15" s="28">
        <f>IF(AP15="2",BH15,0)</f>
        <v>0</v>
      </c>
      <c r="AG15" s="28">
        <f>IF(AP15="0",BI15,0)</f>
        <v>0</v>
      </c>
      <c r="AH15" s="11" t="s">
        <v>11</v>
      </c>
      <c r="AI15" s="28">
        <f>IF(AM15=0,L15,0)</f>
        <v>0</v>
      </c>
      <c r="AJ15" s="28">
        <f>IF(AM15=12,L15,0)</f>
        <v>0</v>
      </c>
      <c r="AK15" s="28">
        <f>IF(AM15=21,L15,0)</f>
        <v>4626.4548599999998</v>
      </c>
      <c r="AM15" s="28">
        <v>21</v>
      </c>
      <c r="AN15" s="28">
        <f>H15*0.135659994</f>
        <v>106.63011188394</v>
      </c>
      <c r="AO15" s="28">
        <f>H15*(1-0.135659994)</f>
        <v>679.37988811605999</v>
      </c>
      <c r="AP15" s="29" t="s">
        <v>52</v>
      </c>
      <c r="AU15" s="28">
        <f>AV15+AW15</f>
        <v>4626.4548599999998</v>
      </c>
      <c r="AV15" s="28">
        <f>G15*AN15</f>
        <v>627.62483854887091</v>
      </c>
      <c r="AW15" s="28">
        <f>G15*AO15</f>
        <v>3998.8300214511291</v>
      </c>
      <c r="AX15" s="29" t="s">
        <v>57</v>
      </c>
      <c r="AY15" s="29" t="s">
        <v>58</v>
      </c>
      <c r="AZ15" s="11" t="s">
        <v>59</v>
      </c>
      <c r="BB15" s="28">
        <f>AV15+AW15</f>
        <v>4626.4548599999998</v>
      </c>
      <c r="BC15" s="28">
        <f>H15/(100-BD15)*100</f>
        <v>786.01</v>
      </c>
      <c r="BD15" s="28">
        <v>0</v>
      </c>
      <c r="BE15" s="28">
        <f>O15</f>
        <v>0.29877335999999999</v>
      </c>
      <c r="BG15" s="28">
        <f>G15*AN15</f>
        <v>627.62483854887091</v>
      </c>
      <c r="BH15" s="28">
        <f>G15*AO15</f>
        <v>3998.8300214511291</v>
      </c>
      <c r="BI15" s="28">
        <f>G15*H15</f>
        <v>4626.4548599999998</v>
      </c>
      <c r="BJ15" s="28"/>
      <c r="BK15" s="28">
        <v>62</v>
      </c>
      <c r="BV15" s="28" t="str">
        <f>I15</f>
        <v>21</v>
      </c>
      <c r="BW15" s="4" t="s">
        <v>64</v>
      </c>
    </row>
    <row r="16" spans="1:75" ht="14.4" x14ac:dyDescent="0.3">
      <c r="A16" s="30"/>
      <c r="D16" s="31" t="s">
        <v>60</v>
      </c>
      <c r="E16" s="31" t="s">
        <v>61</v>
      </c>
      <c r="G16" s="32">
        <v>5.8860000000000001</v>
      </c>
    </row>
    <row r="17" spans="1:75" ht="14.4" x14ac:dyDescent="0.3">
      <c r="A17" s="2" t="s">
        <v>65</v>
      </c>
      <c r="B17" s="3" t="s">
        <v>11</v>
      </c>
      <c r="C17" s="3" t="s">
        <v>66</v>
      </c>
      <c r="D17" s="90" t="s">
        <v>67</v>
      </c>
      <c r="E17" s="87"/>
      <c r="F17" s="3" t="s">
        <v>55</v>
      </c>
      <c r="G17" s="28">
        <v>5.8860000000000001</v>
      </c>
      <c r="H17" s="28">
        <v>781</v>
      </c>
      <c r="I17" s="29" t="s">
        <v>56</v>
      </c>
      <c r="J17" s="28">
        <f>G17*AN17</f>
        <v>3157.0122138631559</v>
      </c>
      <c r="K17" s="28">
        <f>G17*AO17</f>
        <v>1439.953786136844</v>
      </c>
      <c r="L17" s="28">
        <f>G17*H17</f>
        <v>4596.9660000000003</v>
      </c>
      <c r="M17" s="28">
        <f>L17*(1+BV17/100)</f>
        <v>5562.3288600000005</v>
      </c>
      <c r="N17" s="28">
        <v>0.03</v>
      </c>
      <c r="O17" s="28">
        <f>G17*N17</f>
        <v>0.17657999999999999</v>
      </c>
      <c r="Y17" s="28">
        <f>IF(AP17="5",BI17,0)</f>
        <v>0</v>
      </c>
      <c r="AA17" s="28">
        <f>IF(AP17="1",BG17,0)</f>
        <v>3157.0122138631559</v>
      </c>
      <c r="AB17" s="28">
        <f>IF(AP17="1",BH17,0)</f>
        <v>1439.953786136844</v>
      </c>
      <c r="AC17" s="28">
        <f>IF(AP17="7",BG17,0)</f>
        <v>0</v>
      </c>
      <c r="AD17" s="28">
        <f>IF(AP17="7",BH17,0)</f>
        <v>0</v>
      </c>
      <c r="AE17" s="28">
        <f>IF(AP17="2",BG17,0)</f>
        <v>0</v>
      </c>
      <c r="AF17" s="28">
        <f>IF(AP17="2",BH17,0)</f>
        <v>0</v>
      </c>
      <c r="AG17" s="28">
        <f>IF(AP17="0",BI17,0)</f>
        <v>0</v>
      </c>
      <c r="AH17" s="11" t="s">
        <v>11</v>
      </c>
      <c r="AI17" s="28">
        <f>IF(AM17=0,L17,0)</f>
        <v>0</v>
      </c>
      <c r="AJ17" s="28">
        <f>IF(AM17=12,L17,0)</f>
        <v>0</v>
      </c>
      <c r="AK17" s="28">
        <f>IF(AM17=21,L17,0)</f>
        <v>4596.9660000000003</v>
      </c>
      <c r="AM17" s="28">
        <v>21</v>
      </c>
      <c r="AN17" s="28">
        <f>H17*0.686759966</f>
        <v>536.359533446</v>
      </c>
      <c r="AO17" s="28">
        <f>H17*(1-0.686759966)</f>
        <v>244.640466554</v>
      </c>
      <c r="AP17" s="29" t="s">
        <v>52</v>
      </c>
      <c r="AU17" s="28">
        <f>AV17+AW17</f>
        <v>4596.9660000000003</v>
      </c>
      <c r="AV17" s="28">
        <f>G17*AN17</f>
        <v>3157.0122138631559</v>
      </c>
      <c r="AW17" s="28">
        <f>G17*AO17</f>
        <v>1439.953786136844</v>
      </c>
      <c r="AX17" s="29" t="s">
        <v>57</v>
      </c>
      <c r="AY17" s="29" t="s">
        <v>58</v>
      </c>
      <c r="AZ17" s="11" t="s">
        <v>59</v>
      </c>
      <c r="BB17" s="28">
        <f>AV17+AW17</f>
        <v>4596.9660000000003</v>
      </c>
      <c r="BC17" s="28">
        <f>H17/(100-BD17)*100</f>
        <v>781</v>
      </c>
      <c r="BD17" s="28">
        <v>0</v>
      </c>
      <c r="BE17" s="28">
        <f>O17</f>
        <v>0.17657999999999999</v>
      </c>
      <c r="BG17" s="28">
        <f>G17*AN17</f>
        <v>3157.0122138631559</v>
      </c>
      <c r="BH17" s="28">
        <f>G17*AO17</f>
        <v>1439.953786136844</v>
      </c>
      <c r="BI17" s="28">
        <f>G17*H17</f>
        <v>4596.9660000000003</v>
      </c>
      <c r="BJ17" s="28"/>
      <c r="BK17" s="28">
        <v>62</v>
      </c>
      <c r="BV17" s="28" t="str">
        <f>I17</f>
        <v>21</v>
      </c>
      <c r="BW17" s="4" t="s">
        <v>67</v>
      </c>
    </row>
    <row r="18" spans="1:75" ht="14.4" x14ac:dyDescent="0.3">
      <c r="A18" s="30"/>
      <c r="D18" s="31" t="s">
        <v>60</v>
      </c>
      <c r="E18" s="31" t="s">
        <v>61</v>
      </c>
      <c r="G18" s="32">
        <v>5.8860000000000001</v>
      </c>
    </row>
    <row r="19" spans="1:75" ht="26.4" x14ac:dyDescent="0.3">
      <c r="A19" s="2" t="s">
        <v>68</v>
      </c>
      <c r="B19" s="3" t="s">
        <v>11</v>
      </c>
      <c r="C19" s="3" t="s">
        <v>69</v>
      </c>
      <c r="D19" s="90" t="s">
        <v>70</v>
      </c>
      <c r="E19" s="87"/>
      <c r="F19" s="3" t="s">
        <v>55</v>
      </c>
      <c r="G19" s="28">
        <v>5.8860000000000001</v>
      </c>
      <c r="H19" s="28">
        <v>1277</v>
      </c>
      <c r="I19" s="29" t="s">
        <v>56</v>
      </c>
      <c r="J19" s="28">
        <f>G19*AN19</f>
        <v>4977.4972262099755</v>
      </c>
      <c r="K19" s="28">
        <f>G19*AO19</f>
        <v>2538.9247737900241</v>
      </c>
      <c r="L19" s="28">
        <f>G19*H19</f>
        <v>7516.4220000000005</v>
      </c>
      <c r="M19" s="28">
        <f>L19*(1+BV19/100)</f>
        <v>9094.8706199999997</v>
      </c>
      <c r="N19" s="28">
        <v>4.095E-2</v>
      </c>
      <c r="O19" s="28">
        <f>G19*N19</f>
        <v>0.24103170000000002</v>
      </c>
      <c r="Y19" s="28">
        <f>IF(AP19="5",BI19,0)</f>
        <v>0</v>
      </c>
      <c r="AA19" s="28">
        <f>IF(AP19="1",BG19,0)</f>
        <v>4977.4972262099755</v>
      </c>
      <c r="AB19" s="28">
        <f>IF(AP19="1",BH19,0)</f>
        <v>2538.9247737900241</v>
      </c>
      <c r="AC19" s="28">
        <f>IF(AP19="7",BG19,0)</f>
        <v>0</v>
      </c>
      <c r="AD19" s="28">
        <f>IF(AP19="7",BH19,0)</f>
        <v>0</v>
      </c>
      <c r="AE19" s="28">
        <f>IF(AP19="2",BG19,0)</f>
        <v>0</v>
      </c>
      <c r="AF19" s="28">
        <f>IF(AP19="2",BH19,0)</f>
        <v>0</v>
      </c>
      <c r="AG19" s="28">
        <f>IF(AP19="0",BI19,0)</f>
        <v>0</v>
      </c>
      <c r="AH19" s="11" t="s">
        <v>11</v>
      </c>
      <c r="AI19" s="28">
        <f>IF(AM19=0,L19,0)</f>
        <v>0</v>
      </c>
      <c r="AJ19" s="28">
        <f>IF(AM19=12,L19,0)</f>
        <v>0</v>
      </c>
      <c r="AK19" s="28">
        <f>IF(AM19=21,L19,0)</f>
        <v>7516.4220000000005</v>
      </c>
      <c r="AM19" s="28">
        <v>21</v>
      </c>
      <c r="AN19" s="28">
        <f>H19*0.662216308</f>
        <v>845.65022531599993</v>
      </c>
      <c r="AO19" s="28">
        <f>H19*(1-0.662216308)</f>
        <v>431.34977468400001</v>
      </c>
      <c r="AP19" s="29" t="s">
        <v>52</v>
      </c>
      <c r="AU19" s="28">
        <f>AV19+AW19</f>
        <v>7516.4219999999996</v>
      </c>
      <c r="AV19" s="28">
        <f>G19*AN19</f>
        <v>4977.4972262099755</v>
      </c>
      <c r="AW19" s="28">
        <f>G19*AO19</f>
        <v>2538.9247737900241</v>
      </c>
      <c r="AX19" s="29" t="s">
        <v>57</v>
      </c>
      <c r="AY19" s="29" t="s">
        <v>58</v>
      </c>
      <c r="AZ19" s="11" t="s">
        <v>59</v>
      </c>
      <c r="BB19" s="28">
        <f>AV19+AW19</f>
        <v>7516.4219999999996</v>
      </c>
      <c r="BC19" s="28">
        <f>H19/(100-BD19)*100</f>
        <v>1277</v>
      </c>
      <c r="BD19" s="28">
        <v>0</v>
      </c>
      <c r="BE19" s="28">
        <f>O19</f>
        <v>0.24103170000000002</v>
      </c>
      <c r="BG19" s="28">
        <f>G19*AN19</f>
        <v>4977.4972262099755</v>
      </c>
      <c r="BH19" s="28">
        <f>G19*AO19</f>
        <v>2538.9247737900241</v>
      </c>
      <c r="BI19" s="28">
        <f>G19*H19</f>
        <v>7516.4220000000005</v>
      </c>
      <c r="BJ19" s="28"/>
      <c r="BK19" s="28">
        <v>62</v>
      </c>
      <c r="BV19" s="28" t="str">
        <f>I19</f>
        <v>21</v>
      </c>
      <c r="BW19" s="4" t="s">
        <v>70</v>
      </c>
    </row>
    <row r="20" spans="1:75" ht="14.4" x14ac:dyDescent="0.3">
      <c r="A20" s="30"/>
      <c r="D20" s="31" t="s">
        <v>60</v>
      </c>
      <c r="E20" s="31" t="s">
        <v>61</v>
      </c>
      <c r="G20" s="32">
        <v>5.8860000000000001</v>
      </c>
    </row>
    <row r="21" spans="1:75" ht="14.4" x14ac:dyDescent="0.3">
      <c r="A21" s="2" t="s">
        <v>71</v>
      </c>
      <c r="B21" s="3" t="s">
        <v>11</v>
      </c>
      <c r="C21" s="3" t="s">
        <v>72</v>
      </c>
      <c r="D21" s="90" t="s">
        <v>73</v>
      </c>
      <c r="E21" s="87"/>
      <c r="F21" s="3" t="s">
        <v>55</v>
      </c>
      <c r="G21" s="28">
        <v>33.585999999999999</v>
      </c>
      <c r="H21" s="28">
        <v>169</v>
      </c>
      <c r="I21" s="29" t="s">
        <v>56</v>
      </c>
      <c r="J21" s="28">
        <f>G21*AN21</f>
        <v>488.67664308099</v>
      </c>
      <c r="K21" s="28">
        <f>G21*AO21</f>
        <v>5187.3573569190103</v>
      </c>
      <c r="L21" s="28">
        <f>G21*H21</f>
        <v>5676.0339999999997</v>
      </c>
      <c r="M21" s="28">
        <f>L21*(1+BV21/100)</f>
        <v>6868.0011399999994</v>
      </c>
      <c r="N21" s="28">
        <v>1.0000000000000001E-5</v>
      </c>
      <c r="O21" s="28">
        <f>G21*N21</f>
        <v>3.3586E-4</v>
      </c>
      <c r="Y21" s="28">
        <f>IF(AP21="5",BI21,0)</f>
        <v>0</v>
      </c>
      <c r="AA21" s="28">
        <f>IF(AP21="1",BG21,0)</f>
        <v>488.67664308099</v>
      </c>
      <c r="AB21" s="28">
        <f>IF(AP21="1",BH21,0)</f>
        <v>5187.3573569190103</v>
      </c>
      <c r="AC21" s="28">
        <f>IF(AP21="7",BG21,0)</f>
        <v>0</v>
      </c>
      <c r="AD21" s="28">
        <f>IF(AP21="7",BH21,0)</f>
        <v>0</v>
      </c>
      <c r="AE21" s="28">
        <f>IF(AP21="2",BG21,0)</f>
        <v>0</v>
      </c>
      <c r="AF21" s="28">
        <f>IF(AP21="2",BH21,0)</f>
        <v>0</v>
      </c>
      <c r="AG21" s="28">
        <f>IF(AP21="0",BI21,0)</f>
        <v>0</v>
      </c>
      <c r="AH21" s="11" t="s">
        <v>11</v>
      </c>
      <c r="AI21" s="28">
        <f>IF(AM21=0,L21,0)</f>
        <v>0</v>
      </c>
      <c r="AJ21" s="28">
        <f>IF(AM21=12,L21,0)</f>
        <v>0</v>
      </c>
      <c r="AK21" s="28">
        <f>IF(AM21=21,L21,0)</f>
        <v>5676.0339999999997</v>
      </c>
      <c r="AM21" s="28">
        <v>21</v>
      </c>
      <c r="AN21" s="28">
        <f>H21*0.086094735</f>
        <v>14.550010215</v>
      </c>
      <c r="AO21" s="28">
        <f>H21*(1-0.086094735)</f>
        <v>154.44998978500001</v>
      </c>
      <c r="AP21" s="29" t="s">
        <v>52</v>
      </c>
      <c r="AU21" s="28">
        <f>AV21+AW21</f>
        <v>5676.0340000000006</v>
      </c>
      <c r="AV21" s="28">
        <f>G21*AN21</f>
        <v>488.67664308099</v>
      </c>
      <c r="AW21" s="28">
        <f>G21*AO21</f>
        <v>5187.3573569190103</v>
      </c>
      <c r="AX21" s="29" t="s">
        <v>57</v>
      </c>
      <c r="AY21" s="29" t="s">
        <v>58</v>
      </c>
      <c r="AZ21" s="11" t="s">
        <v>59</v>
      </c>
      <c r="BB21" s="28">
        <f>AV21+AW21</f>
        <v>5676.0340000000006</v>
      </c>
      <c r="BC21" s="28">
        <f>H21/(100-BD21)*100</f>
        <v>169</v>
      </c>
      <c r="BD21" s="28">
        <v>0</v>
      </c>
      <c r="BE21" s="28">
        <f>O21</f>
        <v>3.3586E-4</v>
      </c>
      <c r="BG21" s="28">
        <f>G21*AN21</f>
        <v>488.67664308099</v>
      </c>
      <c r="BH21" s="28">
        <f>G21*AO21</f>
        <v>5187.3573569190103</v>
      </c>
      <c r="BI21" s="28">
        <f>G21*H21</f>
        <v>5676.0339999999997</v>
      </c>
      <c r="BJ21" s="28"/>
      <c r="BK21" s="28">
        <v>62</v>
      </c>
      <c r="BV21" s="28" t="str">
        <f>I21</f>
        <v>21</v>
      </c>
      <c r="BW21" s="4" t="s">
        <v>73</v>
      </c>
    </row>
    <row r="22" spans="1:75" ht="14.4" x14ac:dyDescent="0.3">
      <c r="A22" s="30"/>
      <c r="D22" s="31" t="s">
        <v>74</v>
      </c>
      <c r="E22" s="31" t="s">
        <v>75</v>
      </c>
      <c r="G22" s="32">
        <v>12.282</v>
      </c>
    </row>
    <row r="23" spans="1:75" ht="14.4" x14ac:dyDescent="0.3">
      <c r="A23" s="30"/>
      <c r="D23" s="31" t="s">
        <v>76</v>
      </c>
      <c r="E23" s="31" t="s">
        <v>75</v>
      </c>
      <c r="G23" s="32">
        <v>12.88</v>
      </c>
    </row>
    <row r="24" spans="1:75" ht="14.4" x14ac:dyDescent="0.3">
      <c r="A24" s="30"/>
      <c r="D24" s="31" t="s">
        <v>77</v>
      </c>
      <c r="E24" s="31" t="s">
        <v>78</v>
      </c>
      <c r="G24" s="32">
        <v>3.5840000000000001</v>
      </c>
    </row>
    <row r="25" spans="1:75" ht="14.4" x14ac:dyDescent="0.3">
      <c r="A25" s="30"/>
      <c r="D25" s="31" t="s">
        <v>79</v>
      </c>
      <c r="E25" s="31" t="s">
        <v>80</v>
      </c>
      <c r="G25" s="32">
        <v>4.84</v>
      </c>
    </row>
    <row r="26" spans="1:75" ht="26.4" x14ac:dyDescent="0.3">
      <c r="A26" s="2" t="s">
        <v>81</v>
      </c>
      <c r="B26" s="3" t="s">
        <v>11</v>
      </c>
      <c r="C26" s="3" t="s">
        <v>82</v>
      </c>
      <c r="D26" s="90" t="s">
        <v>83</v>
      </c>
      <c r="E26" s="87"/>
      <c r="F26" s="3" t="s">
        <v>55</v>
      </c>
      <c r="G26" s="28">
        <v>33.585999999999999</v>
      </c>
      <c r="H26" s="28">
        <v>3445</v>
      </c>
      <c r="I26" s="29" t="s">
        <v>56</v>
      </c>
      <c r="J26" s="28">
        <f>G26*AN26</f>
        <v>9783.2659740897907</v>
      </c>
      <c r="K26" s="28">
        <f>G26*AO26</f>
        <v>105920.5040259102</v>
      </c>
      <c r="L26" s="28">
        <f>G26*H26</f>
        <v>115703.76999999999</v>
      </c>
      <c r="M26" s="28">
        <f>L26*(1+BV26/100)</f>
        <v>140001.56169999999</v>
      </c>
      <c r="N26" s="28">
        <v>2.928E-2</v>
      </c>
      <c r="O26" s="28">
        <f>G26*N26</f>
        <v>0.98339807999999995</v>
      </c>
      <c r="Y26" s="28">
        <f>IF(AP26="5",BI26,0)</f>
        <v>0</v>
      </c>
      <c r="AA26" s="28">
        <f>IF(AP26="1",BG26,0)</f>
        <v>9783.2659740897907</v>
      </c>
      <c r="AB26" s="28">
        <f>IF(AP26="1",BH26,0)</f>
        <v>105920.5040259102</v>
      </c>
      <c r="AC26" s="28">
        <f>IF(AP26="7",BG26,0)</f>
        <v>0</v>
      </c>
      <c r="AD26" s="28">
        <f>IF(AP26="7",BH26,0)</f>
        <v>0</v>
      </c>
      <c r="AE26" s="28">
        <f>IF(AP26="2",BG26,0)</f>
        <v>0</v>
      </c>
      <c r="AF26" s="28">
        <f>IF(AP26="2",BH26,0)</f>
        <v>0</v>
      </c>
      <c r="AG26" s="28">
        <f>IF(AP26="0",BI26,0)</f>
        <v>0</v>
      </c>
      <c r="AH26" s="11" t="s">
        <v>11</v>
      </c>
      <c r="AI26" s="28">
        <f>IF(AM26=0,L26,0)</f>
        <v>0</v>
      </c>
      <c r="AJ26" s="28">
        <f>IF(AM26=12,L26,0)</f>
        <v>0</v>
      </c>
      <c r="AK26" s="28">
        <f>IF(AM26=21,L26,0)</f>
        <v>115703.76999999999</v>
      </c>
      <c r="AM26" s="28">
        <v>21</v>
      </c>
      <c r="AN26" s="28">
        <f>H26*0.084554427</f>
        <v>291.29000101500003</v>
      </c>
      <c r="AO26" s="28">
        <f>H26*(1-0.084554427)</f>
        <v>3153.7099989849999</v>
      </c>
      <c r="AP26" s="29" t="s">
        <v>52</v>
      </c>
      <c r="AU26" s="28">
        <f>AV26+AW26</f>
        <v>115703.76999999999</v>
      </c>
      <c r="AV26" s="28">
        <f>G26*AN26</f>
        <v>9783.2659740897907</v>
      </c>
      <c r="AW26" s="28">
        <f>G26*AO26</f>
        <v>105920.5040259102</v>
      </c>
      <c r="AX26" s="29" t="s">
        <v>57</v>
      </c>
      <c r="AY26" s="29" t="s">
        <v>58</v>
      </c>
      <c r="AZ26" s="11" t="s">
        <v>59</v>
      </c>
      <c r="BB26" s="28">
        <f>AV26+AW26</f>
        <v>115703.76999999999</v>
      </c>
      <c r="BC26" s="28">
        <f>H26/(100-BD26)*100</f>
        <v>3445.0000000000005</v>
      </c>
      <c r="BD26" s="28">
        <v>0</v>
      </c>
      <c r="BE26" s="28">
        <f>O26</f>
        <v>0.98339807999999995</v>
      </c>
      <c r="BG26" s="28">
        <f>G26*AN26</f>
        <v>9783.2659740897907</v>
      </c>
      <c r="BH26" s="28">
        <f>G26*AO26</f>
        <v>105920.5040259102</v>
      </c>
      <c r="BI26" s="28">
        <f>G26*H26</f>
        <v>115703.76999999999</v>
      </c>
      <c r="BJ26" s="28"/>
      <c r="BK26" s="28">
        <v>62</v>
      </c>
      <c r="BV26" s="28" t="str">
        <f>I26</f>
        <v>21</v>
      </c>
      <c r="BW26" s="4" t="s">
        <v>83</v>
      </c>
    </row>
    <row r="27" spans="1:75" ht="14.4" x14ac:dyDescent="0.3">
      <c r="A27" s="30"/>
      <c r="D27" s="31" t="s">
        <v>74</v>
      </c>
      <c r="E27" s="31" t="s">
        <v>75</v>
      </c>
      <c r="G27" s="32">
        <v>12.282</v>
      </c>
    </row>
    <row r="28" spans="1:75" ht="14.4" x14ac:dyDescent="0.3">
      <c r="A28" s="30"/>
      <c r="D28" s="31" t="s">
        <v>76</v>
      </c>
      <c r="E28" s="31" t="s">
        <v>75</v>
      </c>
      <c r="G28" s="32">
        <v>12.88</v>
      </c>
    </row>
    <row r="29" spans="1:75" ht="14.4" x14ac:dyDescent="0.3">
      <c r="A29" s="30"/>
      <c r="D29" s="31" t="s">
        <v>77</v>
      </c>
      <c r="E29" s="31" t="s">
        <v>78</v>
      </c>
      <c r="G29" s="32">
        <v>3.5840000000000001</v>
      </c>
    </row>
    <row r="30" spans="1:75" ht="14.4" x14ac:dyDescent="0.3">
      <c r="A30" s="30"/>
      <c r="D30" s="31" t="s">
        <v>79</v>
      </c>
      <c r="E30" s="31" t="s">
        <v>80</v>
      </c>
      <c r="G30" s="32">
        <v>4.84</v>
      </c>
    </row>
    <row r="31" spans="1:75" ht="14.4" x14ac:dyDescent="0.3">
      <c r="A31" s="2" t="s">
        <v>84</v>
      </c>
      <c r="B31" s="3" t="s">
        <v>11</v>
      </c>
      <c r="C31" s="3" t="s">
        <v>85</v>
      </c>
      <c r="D31" s="90" t="s">
        <v>86</v>
      </c>
      <c r="E31" s="87"/>
      <c r="F31" s="3" t="s">
        <v>55</v>
      </c>
      <c r="G31" s="28">
        <v>39.472000000000001</v>
      </c>
      <c r="H31" s="28">
        <v>421.5</v>
      </c>
      <c r="I31" s="29" t="s">
        <v>56</v>
      </c>
      <c r="J31" s="28">
        <f>G31*AN31</f>
        <v>9710.9002783193064</v>
      </c>
      <c r="K31" s="28">
        <f>G31*AO31</f>
        <v>6926.5477216806948</v>
      </c>
      <c r="L31" s="28">
        <f>G31*H31</f>
        <v>16637.448</v>
      </c>
      <c r="M31" s="28">
        <f>L31*(1+BV31/100)</f>
        <v>20131.31208</v>
      </c>
      <c r="N31" s="28">
        <v>1.23E-3</v>
      </c>
      <c r="O31" s="28">
        <f>G31*N31</f>
        <v>4.855056E-2</v>
      </c>
      <c r="Y31" s="28">
        <f>IF(AP31="5",BI31,0)</f>
        <v>0</v>
      </c>
      <c r="AA31" s="28">
        <f>IF(AP31="1",BG31,0)</f>
        <v>9710.9002783193064</v>
      </c>
      <c r="AB31" s="28">
        <f>IF(AP31="1",BH31,0)</f>
        <v>6926.5477216806948</v>
      </c>
      <c r="AC31" s="28">
        <f>IF(AP31="7",BG31,0)</f>
        <v>0</v>
      </c>
      <c r="AD31" s="28">
        <f>IF(AP31="7",BH31,0)</f>
        <v>0</v>
      </c>
      <c r="AE31" s="28">
        <f>IF(AP31="2",BG31,0)</f>
        <v>0</v>
      </c>
      <c r="AF31" s="28">
        <f>IF(AP31="2",BH31,0)</f>
        <v>0</v>
      </c>
      <c r="AG31" s="28">
        <f>IF(AP31="0",BI31,0)</f>
        <v>0</v>
      </c>
      <c r="AH31" s="11" t="s">
        <v>11</v>
      </c>
      <c r="AI31" s="28">
        <f>IF(AM31=0,L31,0)</f>
        <v>0</v>
      </c>
      <c r="AJ31" s="28">
        <f>IF(AM31=12,L31,0)</f>
        <v>0</v>
      </c>
      <c r="AK31" s="28">
        <f>IF(AM31=21,L31,0)</f>
        <v>16637.448</v>
      </c>
      <c r="AM31" s="28">
        <v>21</v>
      </c>
      <c r="AN31" s="28">
        <f>H31*0.583677273</f>
        <v>246.01997056950003</v>
      </c>
      <c r="AO31" s="28">
        <f>H31*(1-0.583677273)</f>
        <v>175.48002943049997</v>
      </c>
      <c r="AP31" s="29" t="s">
        <v>52</v>
      </c>
      <c r="AU31" s="28">
        <f>AV31+AW31</f>
        <v>16637.448</v>
      </c>
      <c r="AV31" s="28">
        <f>G31*AN31</f>
        <v>9710.9002783193064</v>
      </c>
      <c r="AW31" s="28">
        <f>G31*AO31</f>
        <v>6926.5477216806948</v>
      </c>
      <c r="AX31" s="29" t="s">
        <v>57</v>
      </c>
      <c r="AY31" s="29" t="s">
        <v>58</v>
      </c>
      <c r="AZ31" s="11" t="s">
        <v>59</v>
      </c>
      <c r="BB31" s="28">
        <f>AV31+AW31</f>
        <v>16637.448</v>
      </c>
      <c r="BC31" s="28">
        <f>H31/(100-BD31)*100</f>
        <v>421.5</v>
      </c>
      <c r="BD31" s="28">
        <v>0</v>
      </c>
      <c r="BE31" s="28">
        <f>O31</f>
        <v>4.855056E-2</v>
      </c>
      <c r="BG31" s="28">
        <f>G31*AN31</f>
        <v>9710.9002783193064</v>
      </c>
      <c r="BH31" s="28">
        <f>G31*AO31</f>
        <v>6926.5477216806948</v>
      </c>
      <c r="BI31" s="28">
        <f>G31*H31</f>
        <v>16637.448</v>
      </c>
      <c r="BJ31" s="28"/>
      <c r="BK31" s="28">
        <v>62</v>
      </c>
      <c r="BV31" s="28" t="str">
        <f>I31</f>
        <v>21</v>
      </c>
      <c r="BW31" s="4" t="s">
        <v>86</v>
      </c>
    </row>
    <row r="32" spans="1:75" ht="14.4" x14ac:dyDescent="0.3">
      <c r="A32" s="30"/>
      <c r="D32" s="31" t="s">
        <v>60</v>
      </c>
      <c r="E32" s="31" t="s">
        <v>61</v>
      </c>
      <c r="G32" s="32">
        <v>5.8860000000000001</v>
      </c>
    </row>
    <row r="33" spans="1:75" ht="14.4" x14ac:dyDescent="0.3">
      <c r="A33" s="30"/>
      <c r="D33" s="31" t="s">
        <v>74</v>
      </c>
      <c r="E33" s="31" t="s">
        <v>75</v>
      </c>
      <c r="G33" s="32">
        <v>12.282</v>
      </c>
    </row>
    <row r="34" spans="1:75" ht="14.4" x14ac:dyDescent="0.3">
      <c r="A34" s="30"/>
      <c r="D34" s="31" t="s">
        <v>76</v>
      </c>
      <c r="E34" s="31" t="s">
        <v>75</v>
      </c>
      <c r="G34" s="32">
        <v>12.88</v>
      </c>
    </row>
    <row r="35" spans="1:75" ht="14.4" x14ac:dyDescent="0.3">
      <c r="A35" s="30"/>
      <c r="D35" s="31" t="s">
        <v>77</v>
      </c>
      <c r="E35" s="31" t="s">
        <v>78</v>
      </c>
      <c r="G35" s="32">
        <v>3.5840000000000001</v>
      </c>
    </row>
    <row r="36" spans="1:75" ht="14.4" x14ac:dyDescent="0.3">
      <c r="A36" s="30"/>
      <c r="D36" s="31" t="s">
        <v>79</v>
      </c>
      <c r="E36" s="31" t="s">
        <v>80</v>
      </c>
      <c r="G36" s="32">
        <v>4.84</v>
      </c>
    </row>
    <row r="37" spans="1:75" ht="14.4" x14ac:dyDescent="0.3">
      <c r="A37" s="2" t="s">
        <v>87</v>
      </c>
      <c r="B37" s="3" t="s">
        <v>11</v>
      </c>
      <c r="C37" s="3" t="s">
        <v>88</v>
      </c>
      <c r="D37" s="90" t="s">
        <v>89</v>
      </c>
      <c r="E37" s="87"/>
      <c r="F37" s="3" t="s">
        <v>55</v>
      </c>
      <c r="G37" s="28">
        <v>39.472000000000001</v>
      </c>
      <c r="H37" s="28">
        <v>155.99</v>
      </c>
      <c r="I37" s="29" t="s">
        <v>56</v>
      </c>
      <c r="J37" s="28">
        <f>G37*AN37</f>
        <v>3569.0566647964224</v>
      </c>
      <c r="K37" s="28">
        <f>G37*AO37</f>
        <v>2588.1806152035783</v>
      </c>
      <c r="L37" s="28">
        <f>G37*H37</f>
        <v>6157.2372800000003</v>
      </c>
      <c r="M37" s="28">
        <f>L37*(1+BV37/100)</f>
        <v>7450.2571088000004</v>
      </c>
      <c r="N37" s="28">
        <v>4.2000000000000002E-4</v>
      </c>
      <c r="O37" s="28">
        <f>G37*N37</f>
        <v>1.6578240000000001E-2</v>
      </c>
      <c r="Y37" s="28">
        <f>IF(AP37="5",BI37,0)</f>
        <v>0</v>
      </c>
      <c r="AA37" s="28">
        <f>IF(AP37="1",BG37,0)</f>
        <v>3569.0566647964224</v>
      </c>
      <c r="AB37" s="28">
        <f>IF(AP37="1",BH37,0)</f>
        <v>2588.1806152035783</v>
      </c>
      <c r="AC37" s="28">
        <f>IF(AP37="7",BG37,0)</f>
        <v>0</v>
      </c>
      <c r="AD37" s="28">
        <f>IF(AP37="7",BH37,0)</f>
        <v>0</v>
      </c>
      <c r="AE37" s="28">
        <f>IF(AP37="2",BG37,0)</f>
        <v>0</v>
      </c>
      <c r="AF37" s="28">
        <f>IF(AP37="2",BH37,0)</f>
        <v>0</v>
      </c>
      <c r="AG37" s="28">
        <f>IF(AP37="0",BI37,0)</f>
        <v>0</v>
      </c>
      <c r="AH37" s="11" t="s">
        <v>11</v>
      </c>
      <c r="AI37" s="28">
        <f>IF(AM37=0,L37,0)</f>
        <v>0</v>
      </c>
      <c r="AJ37" s="28">
        <f>IF(AM37=12,L37,0)</f>
        <v>0</v>
      </c>
      <c r="AK37" s="28">
        <f>IF(AM37=21,L37,0)</f>
        <v>6157.2372800000003</v>
      </c>
      <c r="AM37" s="28">
        <v>21</v>
      </c>
      <c r="AN37" s="28">
        <f>H37*0.579652286</f>
        <v>90.419960093140006</v>
      </c>
      <c r="AO37" s="28">
        <f>H37*(1-0.579652286)</f>
        <v>65.570039906860003</v>
      </c>
      <c r="AP37" s="29" t="s">
        <v>52</v>
      </c>
      <c r="AU37" s="28">
        <f>AV37+AW37</f>
        <v>6157.2372800000012</v>
      </c>
      <c r="AV37" s="28">
        <f>G37*AN37</f>
        <v>3569.0566647964224</v>
      </c>
      <c r="AW37" s="28">
        <f>G37*AO37</f>
        <v>2588.1806152035783</v>
      </c>
      <c r="AX37" s="29" t="s">
        <v>57</v>
      </c>
      <c r="AY37" s="29" t="s">
        <v>58</v>
      </c>
      <c r="AZ37" s="11" t="s">
        <v>59</v>
      </c>
      <c r="BB37" s="28">
        <f>AV37+AW37</f>
        <v>6157.2372800000012</v>
      </c>
      <c r="BC37" s="28">
        <f>H37/(100-BD37)*100</f>
        <v>155.99</v>
      </c>
      <c r="BD37" s="28">
        <v>0</v>
      </c>
      <c r="BE37" s="28">
        <f>O37</f>
        <v>1.6578240000000001E-2</v>
      </c>
      <c r="BG37" s="28">
        <f>G37*AN37</f>
        <v>3569.0566647964224</v>
      </c>
      <c r="BH37" s="28">
        <f>G37*AO37</f>
        <v>2588.1806152035783</v>
      </c>
      <c r="BI37" s="28">
        <f>G37*H37</f>
        <v>6157.2372800000003</v>
      </c>
      <c r="BJ37" s="28"/>
      <c r="BK37" s="28">
        <v>62</v>
      </c>
      <c r="BV37" s="28" t="str">
        <f>I37</f>
        <v>21</v>
      </c>
      <c r="BW37" s="4" t="s">
        <v>89</v>
      </c>
    </row>
    <row r="38" spans="1:75" ht="14.4" x14ac:dyDescent="0.3">
      <c r="A38" s="30"/>
      <c r="D38" s="31" t="s">
        <v>60</v>
      </c>
      <c r="E38" s="31" t="s">
        <v>61</v>
      </c>
      <c r="G38" s="32">
        <v>5.8860000000000001</v>
      </c>
    </row>
    <row r="39" spans="1:75" ht="14.4" x14ac:dyDescent="0.3">
      <c r="A39" s="30"/>
      <c r="D39" s="31" t="s">
        <v>74</v>
      </c>
      <c r="E39" s="31" t="s">
        <v>75</v>
      </c>
      <c r="G39" s="32">
        <v>12.282</v>
      </c>
    </row>
    <row r="40" spans="1:75" ht="14.4" x14ac:dyDescent="0.3">
      <c r="A40" s="30"/>
      <c r="D40" s="31" t="s">
        <v>76</v>
      </c>
      <c r="E40" s="31" t="s">
        <v>75</v>
      </c>
      <c r="G40" s="32">
        <v>12.88</v>
      </c>
    </row>
    <row r="41" spans="1:75" ht="14.4" x14ac:dyDescent="0.3">
      <c r="A41" s="30"/>
      <c r="D41" s="31" t="s">
        <v>77</v>
      </c>
      <c r="E41" s="31" t="s">
        <v>78</v>
      </c>
      <c r="G41" s="32">
        <v>3.5840000000000001</v>
      </c>
    </row>
    <row r="42" spans="1:75" ht="14.4" x14ac:dyDescent="0.3">
      <c r="A42" s="30"/>
      <c r="D42" s="31" t="s">
        <v>79</v>
      </c>
      <c r="E42" s="31" t="s">
        <v>80</v>
      </c>
      <c r="G42" s="32">
        <v>4.84</v>
      </c>
    </row>
    <row r="43" spans="1:75" ht="14.4" x14ac:dyDescent="0.3">
      <c r="A43" s="2" t="s">
        <v>90</v>
      </c>
      <c r="B43" s="3" t="s">
        <v>11</v>
      </c>
      <c r="C43" s="3" t="s">
        <v>91</v>
      </c>
      <c r="D43" s="90" t="s">
        <v>92</v>
      </c>
      <c r="E43" s="87"/>
      <c r="F43" s="3" t="s">
        <v>55</v>
      </c>
      <c r="G43" s="28">
        <v>1.92</v>
      </c>
      <c r="H43" s="28">
        <v>59.09</v>
      </c>
      <c r="I43" s="29" t="s">
        <v>56</v>
      </c>
      <c r="J43" s="28">
        <f>G43*AN43</f>
        <v>37.997737822060799</v>
      </c>
      <c r="K43" s="28">
        <f>G43*AO43</f>
        <v>75.455062177939197</v>
      </c>
      <c r="L43" s="28">
        <f>G43*H43</f>
        <v>113.4528</v>
      </c>
      <c r="M43" s="28">
        <f>L43*(1+BV43/100)</f>
        <v>137.27788799999999</v>
      </c>
      <c r="N43" s="28">
        <v>4.0000000000000003E-5</v>
      </c>
      <c r="O43" s="28">
        <f>G43*N43</f>
        <v>7.680000000000001E-5</v>
      </c>
      <c r="Y43" s="28">
        <f>IF(AP43="5",BI43,0)</f>
        <v>0</v>
      </c>
      <c r="AA43" s="28">
        <f>IF(AP43="1",BG43,0)</f>
        <v>37.997737822060799</v>
      </c>
      <c r="AB43" s="28">
        <f>IF(AP43="1",BH43,0)</f>
        <v>75.455062177939197</v>
      </c>
      <c r="AC43" s="28">
        <f>IF(AP43="7",BG43,0)</f>
        <v>0</v>
      </c>
      <c r="AD43" s="28">
        <f>IF(AP43="7",BH43,0)</f>
        <v>0</v>
      </c>
      <c r="AE43" s="28">
        <f>IF(AP43="2",BG43,0)</f>
        <v>0</v>
      </c>
      <c r="AF43" s="28">
        <f>IF(AP43="2",BH43,0)</f>
        <v>0</v>
      </c>
      <c r="AG43" s="28">
        <f>IF(AP43="0",BI43,0)</f>
        <v>0</v>
      </c>
      <c r="AH43" s="11" t="s">
        <v>11</v>
      </c>
      <c r="AI43" s="28">
        <f>IF(AM43=0,L43,0)</f>
        <v>0</v>
      </c>
      <c r="AJ43" s="28">
        <f>IF(AM43=12,L43,0)</f>
        <v>0</v>
      </c>
      <c r="AK43" s="28">
        <f>IF(AM43=21,L43,0)</f>
        <v>113.4528</v>
      </c>
      <c r="AM43" s="28">
        <v>21</v>
      </c>
      <c r="AN43" s="28">
        <f>H43*0.334921111</f>
        <v>19.790488448990001</v>
      </c>
      <c r="AO43" s="28">
        <f>H43*(1-0.334921111)</f>
        <v>39.299511551009999</v>
      </c>
      <c r="AP43" s="29" t="s">
        <v>52</v>
      </c>
      <c r="AU43" s="28">
        <f>AV43+AW43</f>
        <v>113.4528</v>
      </c>
      <c r="AV43" s="28">
        <f>G43*AN43</f>
        <v>37.997737822060799</v>
      </c>
      <c r="AW43" s="28">
        <f>G43*AO43</f>
        <v>75.455062177939197</v>
      </c>
      <c r="AX43" s="29" t="s">
        <v>57</v>
      </c>
      <c r="AY43" s="29" t="s">
        <v>58</v>
      </c>
      <c r="AZ43" s="11" t="s">
        <v>59</v>
      </c>
      <c r="BB43" s="28">
        <f>AV43+AW43</f>
        <v>113.4528</v>
      </c>
      <c r="BC43" s="28">
        <f>H43/(100-BD43)*100</f>
        <v>59.089999999999996</v>
      </c>
      <c r="BD43" s="28">
        <v>0</v>
      </c>
      <c r="BE43" s="28">
        <f>O43</f>
        <v>7.680000000000001E-5</v>
      </c>
      <c r="BG43" s="28">
        <f>G43*AN43</f>
        <v>37.997737822060799</v>
      </c>
      <c r="BH43" s="28">
        <f>G43*AO43</f>
        <v>75.455062177939197</v>
      </c>
      <c r="BI43" s="28">
        <f>G43*H43</f>
        <v>113.4528</v>
      </c>
      <c r="BJ43" s="28"/>
      <c r="BK43" s="28">
        <v>62</v>
      </c>
      <c r="BV43" s="28" t="str">
        <f>I43</f>
        <v>21</v>
      </c>
      <c r="BW43" s="4" t="s">
        <v>92</v>
      </c>
    </row>
    <row r="44" spans="1:75" ht="14.4" x14ac:dyDescent="0.3">
      <c r="A44" s="30"/>
      <c r="D44" s="31" t="s">
        <v>93</v>
      </c>
      <c r="E44" s="31" t="s">
        <v>94</v>
      </c>
      <c r="G44" s="32">
        <v>1.92</v>
      </c>
    </row>
    <row r="45" spans="1:75" ht="14.4" x14ac:dyDescent="0.3">
      <c r="A45" s="2" t="s">
        <v>95</v>
      </c>
      <c r="B45" s="3" t="s">
        <v>11</v>
      </c>
      <c r="C45" s="3" t="s">
        <v>96</v>
      </c>
      <c r="D45" s="90" t="s">
        <v>97</v>
      </c>
      <c r="E45" s="87"/>
      <c r="F45" s="3" t="s">
        <v>98</v>
      </c>
      <c r="G45" s="28">
        <v>2.3068399999999998</v>
      </c>
      <c r="H45" s="28">
        <v>423.5</v>
      </c>
      <c r="I45" s="29" t="s">
        <v>56</v>
      </c>
      <c r="J45" s="28">
        <f>G45*AN45</f>
        <v>0</v>
      </c>
      <c r="K45" s="28">
        <f>G45*AO45</f>
        <v>976.94673999999986</v>
      </c>
      <c r="L45" s="28">
        <f>G45*H45</f>
        <v>976.94673999999986</v>
      </c>
      <c r="M45" s="28">
        <f>L45*(1+BV45/100)</f>
        <v>1182.1055553999997</v>
      </c>
      <c r="N45" s="28">
        <v>0</v>
      </c>
      <c r="O45" s="28">
        <f>G45*N45</f>
        <v>0</v>
      </c>
      <c r="Y45" s="28">
        <f>IF(AP45="5",BI45,0)</f>
        <v>976.94673999999986</v>
      </c>
      <c r="AA45" s="28">
        <f>IF(AP45="1",BG45,0)</f>
        <v>0</v>
      </c>
      <c r="AB45" s="28">
        <f>IF(AP45="1",BH45,0)</f>
        <v>0</v>
      </c>
      <c r="AC45" s="28">
        <f>IF(AP45="7",BG45,0)</f>
        <v>0</v>
      </c>
      <c r="AD45" s="28">
        <f>IF(AP45="7",BH45,0)</f>
        <v>0</v>
      </c>
      <c r="AE45" s="28">
        <f>IF(AP45="2",BG45,0)</f>
        <v>0</v>
      </c>
      <c r="AF45" s="28">
        <f>IF(AP45="2",BH45,0)</f>
        <v>0</v>
      </c>
      <c r="AG45" s="28">
        <f>IF(AP45="0",BI45,0)</f>
        <v>0</v>
      </c>
      <c r="AH45" s="11" t="s">
        <v>11</v>
      </c>
      <c r="AI45" s="28">
        <f>IF(AM45=0,L45,0)</f>
        <v>0</v>
      </c>
      <c r="AJ45" s="28">
        <f>IF(AM45=12,L45,0)</f>
        <v>0</v>
      </c>
      <c r="AK45" s="28">
        <f>IF(AM45=21,L45,0)</f>
        <v>976.94673999999986</v>
      </c>
      <c r="AM45" s="28">
        <v>21</v>
      </c>
      <c r="AN45" s="28">
        <f>H45*0</f>
        <v>0</v>
      </c>
      <c r="AO45" s="28">
        <f>H45*(1-0)</f>
        <v>423.5</v>
      </c>
      <c r="AP45" s="29" t="s">
        <v>71</v>
      </c>
      <c r="AU45" s="28">
        <f>AV45+AW45</f>
        <v>976.94673999999986</v>
      </c>
      <c r="AV45" s="28">
        <f>G45*AN45</f>
        <v>0</v>
      </c>
      <c r="AW45" s="28">
        <f>G45*AO45</f>
        <v>976.94673999999986</v>
      </c>
      <c r="AX45" s="29" t="s">
        <v>57</v>
      </c>
      <c r="AY45" s="29" t="s">
        <v>58</v>
      </c>
      <c r="AZ45" s="11" t="s">
        <v>59</v>
      </c>
      <c r="BB45" s="28">
        <f>AV45+AW45</f>
        <v>976.94673999999986</v>
      </c>
      <c r="BC45" s="28">
        <f>H45/(100-BD45)*100</f>
        <v>423.50000000000006</v>
      </c>
      <c r="BD45" s="28">
        <v>0</v>
      </c>
      <c r="BE45" s="28">
        <f>O45</f>
        <v>0</v>
      </c>
      <c r="BG45" s="28">
        <f>G45*AN45</f>
        <v>0</v>
      </c>
      <c r="BH45" s="28">
        <f>G45*AO45</f>
        <v>976.94673999999986</v>
      </c>
      <c r="BI45" s="28">
        <f>G45*H45</f>
        <v>976.94673999999986</v>
      </c>
      <c r="BJ45" s="28"/>
      <c r="BK45" s="28">
        <v>62</v>
      </c>
      <c r="BV45" s="28" t="str">
        <f>I45</f>
        <v>21</v>
      </c>
      <c r="BW45" s="4" t="s">
        <v>97</v>
      </c>
    </row>
    <row r="46" spans="1:75" ht="14.4" x14ac:dyDescent="0.3">
      <c r="A46" s="33" t="s">
        <v>11</v>
      </c>
      <c r="B46" s="34" t="s">
        <v>11</v>
      </c>
      <c r="C46" s="34" t="s">
        <v>99</v>
      </c>
      <c r="D46" s="156" t="s">
        <v>100</v>
      </c>
      <c r="E46" s="157"/>
      <c r="F46" s="35" t="s">
        <v>4</v>
      </c>
      <c r="G46" s="35" t="s">
        <v>4</v>
      </c>
      <c r="H46" s="35" t="s">
        <v>4</v>
      </c>
      <c r="I46" s="35" t="s">
        <v>4</v>
      </c>
      <c r="J46" s="1">
        <f>SUM(J47:J55)</f>
        <v>8889.9453773121568</v>
      </c>
      <c r="K46" s="1">
        <f>SUM(K47:K55)</f>
        <v>19878.405692687844</v>
      </c>
      <c r="L46" s="1">
        <f>SUM(L47:L55)</f>
        <v>28768.351070000001</v>
      </c>
      <c r="M46" s="1">
        <f>SUM(M47:M55)</f>
        <v>34809.704794699996</v>
      </c>
      <c r="N46" s="11" t="s">
        <v>11</v>
      </c>
      <c r="O46" s="1">
        <f>SUM(O47:O55)</f>
        <v>0.93948756</v>
      </c>
      <c r="AH46" s="11" t="s">
        <v>11</v>
      </c>
      <c r="AR46" s="1">
        <f>SUM(AI47:AI55)</f>
        <v>0</v>
      </c>
      <c r="AS46" s="1">
        <f>SUM(AJ47:AJ55)</f>
        <v>0</v>
      </c>
      <c r="AT46" s="1">
        <f>SUM(AK47:AK55)</f>
        <v>28768.351070000001</v>
      </c>
    </row>
    <row r="47" spans="1:75" ht="14.4" x14ac:dyDescent="0.3">
      <c r="A47" s="2" t="s">
        <v>101</v>
      </c>
      <c r="B47" s="3" t="s">
        <v>11</v>
      </c>
      <c r="C47" s="3" t="s">
        <v>102</v>
      </c>
      <c r="D47" s="90" t="s">
        <v>103</v>
      </c>
      <c r="E47" s="87"/>
      <c r="F47" s="3" t="s">
        <v>55</v>
      </c>
      <c r="G47" s="28">
        <v>11.747999999999999</v>
      </c>
      <c r="H47" s="28">
        <v>297.01</v>
      </c>
      <c r="I47" s="29" t="s">
        <v>56</v>
      </c>
      <c r="J47" s="28">
        <f>G47*AN47</f>
        <v>0</v>
      </c>
      <c r="K47" s="28">
        <f>G47*AO47</f>
        <v>3489.2734799999998</v>
      </c>
      <c r="L47" s="28">
        <f>G47*H47</f>
        <v>3489.2734799999998</v>
      </c>
      <c r="M47" s="28">
        <f>L47*(1+BV47/100)</f>
        <v>4222.0209107999999</v>
      </c>
      <c r="N47" s="28">
        <v>3.9239999999999997E-2</v>
      </c>
      <c r="O47" s="28">
        <f>G47*N47</f>
        <v>0.46099151999999993</v>
      </c>
      <c r="Y47" s="28">
        <f>IF(AP47="5",BI47,0)</f>
        <v>0</v>
      </c>
      <c r="AA47" s="28">
        <f>IF(AP47="1",BG47,0)</f>
        <v>0</v>
      </c>
      <c r="AB47" s="28">
        <f>IF(AP47="1",BH47,0)</f>
        <v>0</v>
      </c>
      <c r="AC47" s="28">
        <f>IF(AP47="7",BG47,0)</f>
        <v>0</v>
      </c>
      <c r="AD47" s="28">
        <f>IF(AP47="7",BH47,0)</f>
        <v>3489.2734799999998</v>
      </c>
      <c r="AE47" s="28">
        <f>IF(AP47="2",BG47,0)</f>
        <v>0</v>
      </c>
      <c r="AF47" s="28">
        <f>IF(AP47="2",BH47,0)</f>
        <v>0</v>
      </c>
      <c r="AG47" s="28">
        <f>IF(AP47="0",BI47,0)</f>
        <v>0</v>
      </c>
      <c r="AH47" s="11" t="s">
        <v>11</v>
      </c>
      <c r="AI47" s="28">
        <f>IF(AM47=0,L47,0)</f>
        <v>0</v>
      </c>
      <c r="AJ47" s="28">
        <f>IF(AM47=12,L47,0)</f>
        <v>0</v>
      </c>
      <c r="AK47" s="28">
        <f>IF(AM47=21,L47,0)</f>
        <v>3489.2734799999998</v>
      </c>
      <c r="AM47" s="28">
        <v>21</v>
      </c>
      <c r="AN47" s="28">
        <f>H47*0</f>
        <v>0</v>
      </c>
      <c r="AO47" s="28">
        <f>H47*(1-0)</f>
        <v>297.01</v>
      </c>
      <c r="AP47" s="29" t="s">
        <v>84</v>
      </c>
      <c r="AU47" s="28">
        <f>AV47+AW47</f>
        <v>3489.2734799999998</v>
      </c>
      <c r="AV47" s="28">
        <f>G47*AN47</f>
        <v>0</v>
      </c>
      <c r="AW47" s="28">
        <f>G47*AO47</f>
        <v>3489.2734799999998</v>
      </c>
      <c r="AX47" s="29" t="s">
        <v>104</v>
      </c>
      <c r="AY47" s="29" t="s">
        <v>105</v>
      </c>
      <c r="AZ47" s="11" t="s">
        <v>59</v>
      </c>
      <c r="BB47" s="28">
        <f>AV47+AW47</f>
        <v>3489.2734799999998</v>
      </c>
      <c r="BC47" s="28">
        <f>H47/(100-BD47)*100</f>
        <v>297.01</v>
      </c>
      <c r="BD47" s="28">
        <v>0</v>
      </c>
      <c r="BE47" s="28">
        <f>O47</f>
        <v>0.46099151999999993</v>
      </c>
      <c r="BG47" s="28">
        <f>G47*AN47</f>
        <v>0</v>
      </c>
      <c r="BH47" s="28">
        <f>G47*AO47</f>
        <v>3489.2734799999998</v>
      </c>
      <c r="BI47" s="28">
        <f>G47*H47</f>
        <v>3489.2734799999998</v>
      </c>
      <c r="BJ47" s="28"/>
      <c r="BK47" s="28">
        <v>762</v>
      </c>
      <c r="BV47" s="28" t="str">
        <f>I47</f>
        <v>21</v>
      </c>
      <c r="BW47" s="4" t="s">
        <v>103</v>
      </c>
    </row>
    <row r="48" spans="1:75" ht="14.4" x14ac:dyDescent="0.3">
      <c r="A48" s="30"/>
      <c r="D48" s="31" t="s">
        <v>106</v>
      </c>
      <c r="E48" s="31" t="s">
        <v>107</v>
      </c>
      <c r="G48" s="32">
        <v>11.747999999999999</v>
      </c>
    </row>
    <row r="49" spans="1:75" ht="14.4" x14ac:dyDescent="0.3">
      <c r="A49" s="2" t="s">
        <v>108</v>
      </c>
      <c r="B49" s="3" t="s">
        <v>11</v>
      </c>
      <c r="C49" s="3" t="s">
        <v>109</v>
      </c>
      <c r="D49" s="90" t="s">
        <v>110</v>
      </c>
      <c r="E49" s="87"/>
      <c r="F49" s="3" t="s">
        <v>55</v>
      </c>
      <c r="G49" s="28">
        <v>11.747999999999999</v>
      </c>
      <c r="H49" s="28">
        <v>33.5</v>
      </c>
      <c r="I49" s="29" t="s">
        <v>56</v>
      </c>
      <c r="J49" s="28">
        <f>G49*AN49</f>
        <v>0</v>
      </c>
      <c r="K49" s="28">
        <f>G49*AO49</f>
        <v>393.55799999999999</v>
      </c>
      <c r="L49" s="28">
        <f>G49*H49</f>
        <v>393.55799999999999</v>
      </c>
      <c r="M49" s="28">
        <f>L49*(1+BV49/100)</f>
        <v>476.20517999999998</v>
      </c>
      <c r="N49" s="28">
        <v>7.0000000000000001E-3</v>
      </c>
      <c r="O49" s="28">
        <f>G49*N49</f>
        <v>8.2236000000000004E-2</v>
      </c>
      <c r="Y49" s="28">
        <f>IF(AP49="5",BI49,0)</f>
        <v>0</v>
      </c>
      <c r="AA49" s="28">
        <f>IF(AP49="1",BG49,0)</f>
        <v>0</v>
      </c>
      <c r="AB49" s="28">
        <f>IF(AP49="1",BH49,0)</f>
        <v>0</v>
      </c>
      <c r="AC49" s="28">
        <f>IF(AP49="7",BG49,0)</f>
        <v>0</v>
      </c>
      <c r="AD49" s="28">
        <f>IF(AP49="7",BH49,0)</f>
        <v>393.55799999999999</v>
      </c>
      <c r="AE49" s="28">
        <f>IF(AP49="2",BG49,0)</f>
        <v>0</v>
      </c>
      <c r="AF49" s="28">
        <f>IF(AP49="2",BH49,0)</f>
        <v>0</v>
      </c>
      <c r="AG49" s="28">
        <f>IF(AP49="0",BI49,0)</f>
        <v>0</v>
      </c>
      <c r="AH49" s="11" t="s">
        <v>11</v>
      </c>
      <c r="AI49" s="28">
        <f>IF(AM49=0,L49,0)</f>
        <v>0</v>
      </c>
      <c r="AJ49" s="28">
        <f>IF(AM49=12,L49,0)</f>
        <v>0</v>
      </c>
      <c r="AK49" s="28">
        <f>IF(AM49=21,L49,0)</f>
        <v>393.55799999999999</v>
      </c>
      <c r="AM49" s="28">
        <v>21</v>
      </c>
      <c r="AN49" s="28">
        <f>H49*0</f>
        <v>0</v>
      </c>
      <c r="AO49" s="28">
        <f>H49*(1-0)</f>
        <v>33.5</v>
      </c>
      <c r="AP49" s="29" t="s">
        <v>84</v>
      </c>
      <c r="AU49" s="28">
        <f>AV49+AW49</f>
        <v>393.55799999999999</v>
      </c>
      <c r="AV49" s="28">
        <f>G49*AN49</f>
        <v>0</v>
      </c>
      <c r="AW49" s="28">
        <f>G49*AO49</f>
        <v>393.55799999999999</v>
      </c>
      <c r="AX49" s="29" t="s">
        <v>104</v>
      </c>
      <c r="AY49" s="29" t="s">
        <v>105</v>
      </c>
      <c r="AZ49" s="11" t="s">
        <v>59</v>
      </c>
      <c r="BB49" s="28">
        <f>AV49+AW49</f>
        <v>393.55799999999999</v>
      </c>
      <c r="BC49" s="28">
        <f>H49/(100-BD49)*100</f>
        <v>33.5</v>
      </c>
      <c r="BD49" s="28">
        <v>0</v>
      </c>
      <c r="BE49" s="28">
        <f>O49</f>
        <v>8.2236000000000004E-2</v>
      </c>
      <c r="BG49" s="28">
        <f>G49*AN49</f>
        <v>0</v>
      </c>
      <c r="BH49" s="28">
        <f>G49*AO49</f>
        <v>393.55799999999999</v>
      </c>
      <c r="BI49" s="28">
        <f>G49*H49</f>
        <v>393.55799999999999</v>
      </c>
      <c r="BJ49" s="28"/>
      <c r="BK49" s="28">
        <v>762</v>
      </c>
      <c r="BV49" s="28" t="str">
        <f>I49</f>
        <v>21</v>
      </c>
      <c r="BW49" s="4" t="s">
        <v>110</v>
      </c>
    </row>
    <row r="50" spans="1:75" ht="14.4" x14ac:dyDescent="0.3">
      <c r="A50" s="30"/>
      <c r="D50" s="31" t="s">
        <v>106</v>
      </c>
      <c r="E50" s="31" t="s">
        <v>107</v>
      </c>
      <c r="G50" s="32">
        <v>11.747999999999999</v>
      </c>
    </row>
    <row r="51" spans="1:75" ht="14.4" x14ac:dyDescent="0.3">
      <c r="A51" s="2" t="s">
        <v>111</v>
      </c>
      <c r="B51" s="3" t="s">
        <v>11</v>
      </c>
      <c r="C51" s="3" t="s">
        <v>112</v>
      </c>
      <c r="D51" s="90" t="s">
        <v>113</v>
      </c>
      <c r="E51" s="87"/>
      <c r="F51" s="3" t="s">
        <v>55</v>
      </c>
      <c r="G51" s="28">
        <v>11.747999999999999</v>
      </c>
      <c r="H51" s="28">
        <v>22.31</v>
      </c>
      <c r="I51" s="29" t="s">
        <v>56</v>
      </c>
      <c r="J51" s="28">
        <f>G51*AN51</f>
        <v>0</v>
      </c>
      <c r="K51" s="28">
        <f>G51*AO51</f>
        <v>262.09787999999998</v>
      </c>
      <c r="L51" s="28">
        <f>G51*H51</f>
        <v>262.09787999999998</v>
      </c>
      <c r="M51" s="28">
        <f>L51*(1+BV51/100)</f>
        <v>317.13843479999997</v>
      </c>
      <c r="N51" s="28">
        <v>1.4499999999999999E-3</v>
      </c>
      <c r="O51" s="28">
        <f>G51*N51</f>
        <v>1.7034599999999997E-2</v>
      </c>
      <c r="Y51" s="28">
        <f>IF(AP51="5",BI51,0)</f>
        <v>0</v>
      </c>
      <c r="AA51" s="28">
        <f>IF(AP51="1",BG51,0)</f>
        <v>0</v>
      </c>
      <c r="AB51" s="28">
        <f>IF(AP51="1",BH51,0)</f>
        <v>0</v>
      </c>
      <c r="AC51" s="28">
        <f>IF(AP51="7",BG51,0)</f>
        <v>0</v>
      </c>
      <c r="AD51" s="28">
        <f>IF(AP51="7",BH51,0)</f>
        <v>262.09787999999998</v>
      </c>
      <c r="AE51" s="28">
        <f>IF(AP51="2",BG51,0)</f>
        <v>0</v>
      </c>
      <c r="AF51" s="28">
        <f>IF(AP51="2",BH51,0)</f>
        <v>0</v>
      </c>
      <c r="AG51" s="28">
        <f>IF(AP51="0",BI51,0)</f>
        <v>0</v>
      </c>
      <c r="AH51" s="11" t="s">
        <v>11</v>
      </c>
      <c r="AI51" s="28">
        <f>IF(AM51=0,L51,0)</f>
        <v>0</v>
      </c>
      <c r="AJ51" s="28">
        <f>IF(AM51=12,L51,0)</f>
        <v>0</v>
      </c>
      <c r="AK51" s="28">
        <f>IF(AM51=21,L51,0)</f>
        <v>262.09787999999998</v>
      </c>
      <c r="AM51" s="28">
        <v>21</v>
      </c>
      <c r="AN51" s="28">
        <f>H51*0</f>
        <v>0</v>
      </c>
      <c r="AO51" s="28">
        <f>H51*(1-0)</f>
        <v>22.31</v>
      </c>
      <c r="AP51" s="29" t="s">
        <v>84</v>
      </c>
      <c r="AU51" s="28">
        <f>AV51+AW51</f>
        <v>262.09787999999998</v>
      </c>
      <c r="AV51" s="28">
        <f>G51*AN51</f>
        <v>0</v>
      </c>
      <c r="AW51" s="28">
        <f>G51*AO51</f>
        <v>262.09787999999998</v>
      </c>
      <c r="AX51" s="29" t="s">
        <v>104</v>
      </c>
      <c r="AY51" s="29" t="s">
        <v>105</v>
      </c>
      <c r="AZ51" s="11" t="s">
        <v>59</v>
      </c>
      <c r="BB51" s="28">
        <f>AV51+AW51</f>
        <v>262.09787999999998</v>
      </c>
      <c r="BC51" s="28">
        <f>H51/(100-BD51)*100</f>
        <v>22.31</v>
      </c>
      <c r="BD51" s="28">
        <v>0</v>
      </c>
      <c r="BE51" s="28">
        <f>O51</f>
        <v>1.7034599999999997E-2</v>
      </c>
      <c r="BG51" s="28">
        <f>G51*AN51</f>
        <v>0</v>
      </c>
      <c r="BH51" s="28">
        <f>G51*AO51</f>
        <v>262.09787999999998</v>
      </c>
      <c r="BI51" s="28">
        <f>G51*H51</f>
        <v>262.09787999999998</v>
      </c>
      <c r="BJ51" s="28"/>
      <c r="BK51" s="28">
        <v>762</v>
      </c>
      <c r="BV51" s="28" t="str">
        <f>I51</f>
        <v>21</v>
      </c>
      <c r="BW51" s="4" t="s">
        <v>113</v>
      </c>
    </row>
    <row r="52" spans="1:75" ht="14.4" x14ac:dyDescent="0.3">
      <c r="A52" s="30"/>
      <c r="D52" s="31" t="s">
        <v>106</v>
      </c>
      <c r="E52" s="31" t="s">
        <v>107</v>
      </c>
      <c r="G52" s="32">
        <v>11.747999999999999</v>
      </c>
    </row>
    <row r="53" spans="1:75" ht="14.4" x14ac:dyDescent="0.3">
      <c r="A53" s="2" t="s">
        <v>114</v>
      </c>
      <c r="B53" s="3" t="s">
        <v>11</v>
      </c>
      <c r="C53" s="3" t="s">
        <v>115</v>
      </c>
      <c r="D53" s="90" t="s">
        <v>116</v>
      </c>
      <c r="E53" s="87"/>
      <c r="F53" s="3" t="s">
        <v>55</v>
      </c>
      <c r="G53" s="28">
        <v>11.747999999999999</v>
      </c>
      <c r="H53" s="28">
        <v>1954.02</v>
      </c>
      <c r="I53" s="29" t="s">
        <v>56</v>
      </c>
      <c r="J53" s="28">
        <f>G53*AN53</f>
        <v>8889.9453773121568</v>
      </c>
      <c r="K53" s="28">
        <f>G53*AO53</f>
        <v>14065.881582687842</v>
      </c>
      <c r="L53" s="28">
        <f>G53*H53</f>
        <v>22955.826959999999</v>
      </c>
      <c r="M53" s="28">
        <f>L53*(1+BV53/100)</f>
        <v>27776.550621599996</v>
      </c>
      <c r="N53" s="28">
        <v>3.2280000000000003E-2</v>
      </c>
      <c r="O53" s="28">
        <f>G53*N53</f>
        <v>0.37922544000000002</v>
      </c>
      <c r="Y53" s="28">
        <f>IF(AP53="5",BI53,0)</f>
        <v>0</v>
      </c>
      <c r="AA53" s="28">
        <f>IF(AP53="1",BG53,0)</f>
        <v>0</v>
      </c>
      <c r="AB53" s="28">
        <f>IF(AP53="1",BH53,0)</f>
        <v>0</v>
      </c>
      <c r="AC53" s="28">
        <f>IF(AP53="7",BG53,0)</f>
        <v>8889.9453773121568</v>
      </c>
      <c r="AD53" s="28">
        <f>IF(AP53="7",BH53,0)</f>
        <v>14065.881582687842</v>
      </c>
      <c r="AE53" s="28">
        <f>IF(AP53="2",BG53,0)</f>
        <v>0</v>
      </c>
      <c r="AF53" s="28">
        <f>IF(AP53="2",BH53,0)</f>
        <v>0</v>
      </c>
      <c r="AG53" s="28">
        <f>IF(AP53="0",BI53,0)</f>
        <v>0</v>
      </c>
      <c r="AH53" s="11" t="s">
        <v>11</v>
      </c>
      <c r="AI53" s="28">
        <f>IF(AM53=0,L53,0)</f>
        <v>0</v>
      </c>
      <c r="AJ53" s="28">
        <f>IF(AM53=12,L53,0)</f>
        <v>0</v>
      </c>
      <c r="AK53" s="28">
        <f>IF(AM53=21,L53,0)</f>
        <v>22955.826959999999</v>
      </c>
      <c r="AM53" s="28">
        <v>21</v>
      </c>
      <c r="AN53" s="28">
        <f>H53*0.387263129</f>
        <v>756.71989932857991</v>
      </c>
      <c r="AO53" s="28">
        <f>H53*(1-0.387263129)</f>
        <v>1197.3001006714201</v>
      </c>
      <c r="AP53" s="29" t="s">
        <v>84</v>
      </c>
      <c r="AU53" s="28">
        <f>AV53+AW53</f>
        <v>22955.826959999999</v>
      </c>
      <c r="AV53" s="28">
        <f>G53*AN53</f>
        <v>8889.9453773121568</v>
      </c>
      <c r="AW53" s="28">
        <f>G53*AO53</f>
        <v>14065.881582687842</v>
      </c>
      <c r="AX53" s="29" t="s">
        <v>104</v>
      </c>
      <c r="AY53" s="29" t="s">
        <v>105</v>
      </c>
      <c r="AZ53" s="11" t="s">
        <v>59</v>
      </c>
      <c r="BB53" s="28">
        <f>AV53+AW53</f>
        <v>22955.826959999999</v>
      </c>
      <c r="BC53" s="28">
        <f>H53/(100-BD53)*100</f>
        <v>1954.02</v>
      </c>
      <c r="BD53" s="28">
        <v>0</v>
      </c>
      <c r="BE53" s="28">
        <f>O53</f>
        <v>0.37922544000000002</v>
      </c>
      <c r="BG53" s="28">
        <f>G53*AN53</f>
        <v>8889.9453773121568</v>
      </c>
      <c r="BH53" s="28">
        <f>G53*AO53</f>
        <v>14065.881582687842</v>
      </c>
      <c r="BI53" s="28">
        <f>G53*H53</f>
        <v>22955.826959999999</v>
      </c>
      <c r="BJ53" s="28"/>
      <c r="BK53" s="28">
        <v>762</v>
      </c>
      <c r="BV53" s="28" t="str">
        <f>I53</f>
        <v>21</v>
      </c>
      <c r="BW53" s="4" t="s">
        <v>116</v>
      </c>
    </row>
    <row r="54" spans="1:75" ht="14.4" x14ac:dyDescent="0.3">
      <c r="A54" s="30"/>
      <c r="D54" s="31" t="s">
        <v>106</v>
      </c>
      <c r="E54" s="31" t="s">
        <v>11</v>
      </c>
      <c r="G54" s="32">
        <v>11.747999999999999</v>
      </c>
    </row>
    <row r="55" spans="1:75" ht="14.4" x14ac:dyDescent="0.3">
      <c r="A55" s="2" t="s">
        <v>117</v>
      </c>
      <c r="B55" s="3" t="s">
        <v>11</v>
      </c>
      <c r="C55" s="3" t="s">
        <v>118</v>
      </c>
      <c r="D55" s="90" t="s">
        <v>119</v>
      </c>
      <c r="E55" s="87"/>
      <c r="F55" s="3" t="s">
        <v>98</v>
      </c>
      <c r="G55" s="28">
        <v>0.93949000000000005</v>
      </c>
      <c r="H55" s="28">
        <v>1775</v>
      </c>
      <c r="I55" s="29" t="s">
        <v>56</v>
      </c>
      <c r="J55" s="28">
        <f>G55*AN55</f>
        <v>0</v>
      </c>
      <c r="K55" s="28">
        <f>G55*AO55</f>
        <v>1667.59475</v>
      </c>
      <c r="L55" s="28">
        <f>G55*H55</f>
        <v>1667.59475</v>
      </c>
      <c r="M55" s="28">
        <f>L55*(1+BV55/100)</f>
        <v>2017.7896475</v>
      </c>
      <c r="N55" s="28">
        <v>0</v>
      </c>
      <c r="O55" s="28">
        <f>G55*N55</f>
        <v>0</v>
      </c>
      <c r="Y55" s="28">
        <f>IF(AP55="5",BI55,0)</f>
        <v>1667.59475</v>
      </c>
      <c r="AA55" s="28">
        <f>IF(AP55="1",BG55,0)</f>
        <v>0</v>
      </c>
      <c r="AB55" s="28">
        <f>IF(AP55="1",BH55,0)</f>
        <v>0</v>
      </c>
      <c r="AC55" s="28">
        <f>IF(AP55="7",BG55,0)</f>
        <v>0</v>
      </c>
      <c r="AD55" s="28">
        <f>IF(AP55="7",BH55,0)</f>
        <v>0</v>
      </c>
      <c r="AE55" s="28">
        <f>IF(AP55="2",BG55,0)</f>
        <v>0</v>
      </c>
      <c r="AF55" s="28">
        <f>IF(AP55="2",BH55,0)</f>
        <v>0</v>
      </c>
      <c r="AG55" s="28">
        <f>IF(AP55="0",BI55,0)</f>
        <v>0</v>
      </c>
      <c r="AH55" s="11" t="s">
        <v>11</v>
      </c>
      <c r="AI55" s="28">
        <f>IF(AM55=0,L55,0)</f>
        <v>0</v>
      </c>
      <c r="AJ55" s="28">
        <f>IF(AM55=12,L55,0)</f>
        <v>0</v>
      </c>
      <c r="AK55" s="28">
        <f>IF(AM55=21,L55,0)</f>
        <v>1667.59475</v>
      </c>
      <c r="AM55" s="28">
        <v>21</v>
      </c>
      <c r="AN55" s="28">
        <f>H55*0</f>
        <v>0</v>
      </c>
      <c r="AO55" s="28">
        <f>H55*(1-0)</f>
        <v>1775</v>
      </c>
      <c r="AP55" s="29" t="s">
        <v>71</v>
      </c>
      <c r="AU55" s="28">
        <f>AV55+AW55</f>
        <v>1667.59475</v>
      </c>
      <c r="AV55" s="28">
        <f>G55*AN55</f>
        <v>0</v>
      </c>
      <c r="AW55" s="28">
        <f>G55*AO55</f>
        <v>1667.59475</v>
      </c>
      <c r="AX55" s="29" t="s">
        <v>104</v>
      </c>
      <c r="AY55" s="29" t="s">
        <v>105</v>
      </c>
      <c r="AZ55" s="11" t="s">
        <v>59</v>
      </c>
      <c r="BB55" s="28">
        <f>AV55+AW55</f>
        <v>1667.59475</v>
      </c>
      <c r="BC55" s="28">
        <f>H55/(100-BD55)*100</f>
        <v>1775</v>
      </c>
      <c r="BD55" s="28">
        <v>0</v>
      </c>
      <c r="BE55" s="28">
        <f>O55</f>
        <v>0</v>
      </c>
      <c r="BG55" s="28">
        <f>G55*AN55</f>
        <v>0</v>
      </c>
      <c r="BH55" s="28">
        <f>G55*AO55</f>
        <v>1667.59475</v>
      </c>
      <c r="BI55" s="28">
        <f>G55*H55</f>
        <v>1667.59475</v>
      </c>
      <c r="BJ55" s="28"/>
      <c r="BK55" s="28">
        <v>762</v>
      </c>
      <c r="BV55" s="28" t="str">
        <f>I55</f>
        <v>21</v>
      </c>
      <c r="BW55" s="4" t="s">
        <v>119</v>
      </c>
    </row>
    <row r="56" spans="1:75" ht="14.4" x14ac:dyDescent="0.3">
      <c r="A56" s="33" t="s">
        <v>11</v>
      </c>
      <c r="B56" s="34" t="s">
        <v>11</v>
      </c>
      <c r="C56" s="34" t="s">
        <v>120</v>
      </c>
      <c r="D56" s="156" t="s">
        <v>121</v>
      </c>
      <c r="E56" s="157"/>
      <c r="F56" s="35" t="s">
        <v>4</v>
      </c>
      <c r="G56" s="35" t="s">
        <v>4</v>
      </c>
      <c r="H56" s="35" t="s">
        <v>4</v>
      </c>
      <c r="I56" s="35" t="s">
        <v>4</v>
      </c>
      <c r="J56" s="1">
        <f>SUM(J57:J65)</f>
        <v>21757.100015517321</v>
      </c>
      <c r="K56" s="1">
        <f>SUM(K57:K65)</f>
        <v>41069.409984482678</v>
      </c>
      <c r="L56" s="1">
        <f>SUM(L57:L65)</f>
        <v>62826.509999999995</v>
      </c>
      <c r="M56" s="1">
        <f>SUM(M57:M65)</f>
        <v>76020.077099999995</v>
      </c>
      <c r="N56" s="11" t="s">
        <v>11</v>
      </c>
      <c r="O56" s="1">
        <f>SUM(O57:O65)</f>
        <v>1.8461999999999999E-2</v>
      </c>
      <c r="AH56" s="11" t="s">
        <v>11</v>
      </c>
      <c r="AR56" s="1">
        <f>SUM(AI57:AI65)</f>
        <v>0</v>
      </c>
      <c r="AS56" s="1">
        <f>SUM(AJ57:AJ65)</f>
        <v>0</v>
      </c>
      <c r="AT56" s="1">
        <f>SUM(AK57:AK65)</f>
        <v>62826.509999999995</v>
      </c>
    </row>
    <row r="57" spans="1:75" ht="26.4" x14ac:dyDescent="0.3">
      <c r="A57" s="2" t="s">
        <v>122</v>
      </c>
      <c r="B57" s="3" t="s">
        <v>11</v>
      </c>
      <c r="C57" s="3" t="s">
        <v>123</v>
      </c>
      <c r="D57" s="90" t="s">
        <v>124</v>
      </c>
      <c r="E57" s="87"/>
      <c r="F57" s="3" t="s">
        <v>55</v>
      </c>
      <c r="G57" s="28">
        <v>10.4</v>
      </c>
      <c r="H57" s="28">
        <v>1055</v>
      </c>
      <c r="I57" s="29" t="s">
        <v>56</v>
      </c>
      <c r="J57" s="28">
        <f>G57*AN57</f>
        <v>1254.7600046800001</v>
      </c>
      <c r="K57" s="28">
        <f>G57*AO57</f>
        <v>9717.2399953200002</v>
      </c>
      <c r="L57" s="28">
        <f>G57*H57</f>
        <v>10972</v>
      </c>
      <c r="M57" s="28">
        <f>L57*(1+BV57/100)</f>
        <v>13276.119999999999</v>
      </c>
      <c r="N57" s="28">
        <v>3.1E-4</v>
      </c>
      <c r="O57" s="28">
        <f>G57*N57</f>
        <v>3.2240000000000003E-3</v>
      </c>
      <c r="Y57" s="28">
        <f>IF(AP57="5",BI57,0)</f>
        <v>0</v>
      </c>
      <c r="AA57" s="28">
        <f>IF(AP57="1",BG57,0)</f>
        <v>0</v>
      </c>
      <c r="AB57" s="28">
        <f>IF(AP57="1",BH57,0)</f>
        <v>0</v>
      </c>
      <c r="AC57" s="28">
        <f>IF(AP57="7",BG57,0)</f>
        <v>1254.7600046800001</v>
      </c>
      <c r="AD57" s="28">
        <f>IF(AP57="7",BH57,0)</f>
        <v>9717.2399953200002</v>
      </c>
      <c r="AE57" s="28">
        <f>IF(AP57="2",BG57,0)</f>
        <v>0</v>
      </c>
      <c r="AF57" s="28">
        <f>IF(AP57="2",BH57,0)</f>
        <v>0</v>
      </c>
      <c r="AG57" s="28">
        <f>IF(AP57="0",BI57,0)</f>
        <v>0</v>
      </c>
      <c r="AH57" s="11" t="s">
        <v>11</v>
      </c>
      <c r="AI57" s="28">
        <f>IF(AM57=0,L57,0)</f>
        <v>0</v>
      </c>
      <c r="AJ57" s="28">
        <f>IF(AM57=12,L57,0)</f>
        <v>0</v>
      </c>
      <c r="AK57" s="28">
        <f>IF(AM57=21,L57,0)</f>
        <v>10972</v>
      </c>
      <c r="AM57" s="28">
        <v>21</v>
      </c>
      <c r="AN57" s="28">
        <f>H57*0.11436019</f>
        <v>120.65000045000001</v>
      </c>
      <c r="AO57" s="28">
        <f>H57*(1-0.11436019)</f>
        <v>934.34999955000001</v>
      </c>
      <c r="AP57" s="29" t="s">
        <v>84</v>
      </c>
      <c r="AU57" s="28">
        <f>AV57+AW57</f>
        <v>10972</v>
      </c>
      <c r="AV57" s="28">
        <f>G57*AN57</f>
        <v>1254.7600046800001</v>
      </c>
      <c r="AW57" s="28">
        <f>G57*AO57</f>
        <v>9717.2399953200002</v>
      </c>
      <c r="AX57" s="29" t="s">
        <v>125</v>
      </c>
      <c r="AY57" s="29" t="s">
        <v>105</v>
      </c>
      <c r="AZ57" s="11" t="s">
        <v>59</v>
      </c>
      <c r="BB57" s="28">
        <f>AV57+AW57</f>
        <v>10972</v>
      </c>
      <c r="BC57" s="28">
        <f>H57/(100-BD57)*100</f>
        <v>1055</v>
      </c>
      <c r="BD57" s="28">
        <v>0</v>
      </c>
      <c r="BE57" s="28">
        <f>O57</f>
        <v>3.2240000000000003E-3</v>
      </c>
      <c r="BG57" s="28">
        <f>G57*AN57</f>
        <v>1254.7600046800001</v>
      </c>
      <c r="BH57" s="28">
        <f>G57*AO57</f>
        <v>9717.2399953200002</v>
      </c>
      <c r="BI57" s="28">
        <f>G57*H57</f>
        <v>10972</v>
      </c>
      <c r="BJ57" s="28"/>
      <c r="BK57" s="28">
        <v>764</v>
      </c>
      <c r="BV57" s="28" t="str">
        <f>I57</f>
        <v>21</v>
      </c>
      <c r="BW57" s="4" t="s">
        <v>124</v>
      </c>
    </row>
    <row r="58" spans="1:75" ht="14.4" x14ac:dyDescent="0.3">
      <c r="A58" s="30"/>
      <c r="D58" s="31" t="s">
        <v>126</v>
      </c>
      <c r="E58" s="31" t="s">
        <v>127</v>
      </c>
      <c r="G58" s="32">
        <v>6</v>
      </c>
    </row>
    <row r="59" spans="1:75" ht="14.4" x14ac:dyDescent="0.3">
      <c r="A59" s="30"/>
      <c r="D59" s="31" t="s">
        <v>128</v>
      </c>
      <c r="E59" s="31" t="s">
        <v>129</v>
      </c>
      <c r="G59" s="32">
        <v>4.4000000000000004</v>
      </c>
    </row>
    <row r="60" spans="1:75" ht="26.4" x14ac:dyDescent="0.3">
      <c r="A60" s="2" t="s">
        <v>130</v>
      </c>
      <c r="B60" s="3" t="s">
        <v>11</v>
      </c>
      <c r="C60" s="3" t="s">
        <v>131</v>
      </c>
      <c r="D60" s="90" t="s">
        <v>132</v>
      </c>
      <c r="E60" s="87"/>
      <c r="F60" s="3" t="s">
        <v>55</v>
      </c>
      <c r="G60" s="28">
        <v>10.4</v>
      </c>
      <c r="H60" s="28">
        <v>892.5</v>
      </c>
      <c r="I60" s="29" t="s">
        <v>56</v>
      </c>
      <c r="J60" s="28">
        <f>G60*AN60</f>
        <v>3585.4000018200004</v>
      </c>
      <c r="K60" s="28">
        <f>G60*AO60</f>
        <v>5696.5999981800005</v>
      </c>
      <c r="L60" s="28">
        <f>G60*H60</f>
        <v>9282</v>
      </c>
      <c r="M60" s="28">
        <f>L60*(1+BV60/100)</f>
        <v>11231.22</v>
      </c>
      <c r="N60" s="28">
        <v>3.6999999999999999E-4</v>
      </c>
      <c r="O60" s="28">
        <f>G60*N60</f>
        <v>3.8480000000000003E-3</v>
      </c>
      <c r="Y60" s="28">
        <f>IF(AP60="5",BI60,0)</f>
        <v>0</v>
      </c>
      <c r="AA60" s="28">
        <f>IF(AP60="1",BG60,0)</f>
        <v>0</v>
      </c>
      <c r="AB60" s="28">
        <f>IF(AP60="1",BH60,0)</f>
        <v>0</v>
      </c>
      <c r="AC60" s="28">
        <f>IF(AP60="7",BG60,0)</f>
        <v>3585.4000018200004</v>
      </c>
      <c r="AD60" s="28">
        <f>IF(AP60="7",BH60,0)</f>
        <v>5696.5999981800005</v>
      </c>
      <c r="AE60" s="28">
        <f>IF(AP60="2",BG60,0)</f>
        <v>0</v>
      </c>
      <c r="AF60" s="28">
        <f>IF(AP60="2",BH60,0)</f>
        <v>0</v>
      </c>
      <c r="AG60" s="28">
        <f>IF(AP60="0",BI60,0)</f>
        <v>0</v>
      </c>
      <c r="AH60" s="11" t="s">
        <v>11</v>
      </c>
      <c r="AI60" s="28">
        <f>IF(AM60=0,L60,0)</f>
        <v>0</v>
      </c>
      <c r="AJ60" s="28">
        <f>IF(AM60=12,L60,0)</f>
        <v>0</v>
      </c>
      <c r="AK60" s="28">
        <f>IF(AM60=21,L60,0)</f>
        <v>9282</v>
      </c>
      <c r="AM60" s="28">
        <v>21</v>
      </c>
      <c r="AN60" s="28">
        <f>H60*0.38627451</f>
        <v>344.75000017500003</v>
      </c>
      <c r="AO60" s="28">
        <f>H60*(1-0.38627451)</f>
        <v>547.74999982500003</v>
      </c>
      <c r="AP60" s="29" t="s">
        <v>84</v>
      </c>
      <c r="AU60" s="28">
        <f>AV60+AW60</f>
        <v>9282</v>
      </c>
      <c r="AV60" s="28">
        <f>G60*AN60</f>
        <v>3585.4000018200004</v>
      </c>
      <c r="AW60" s="28">
        <f>G60*AO60</f>
        <v>5696.5999981800005</v>
      </c>
      <c r="AX60" s="29" t="s">
        <v>125</v>
      </c>
      <c r="AY60" s="29" t="s">
        <v>105</v>
      </c>
      <c r="AZ60" s="11" t="s">
        <v>59</v>
      </c>
      <c r="BB60" s="28">
        <f>AV60+AW60</f>
        <v>9282</v>
      </c>
      <c r="BC60" s="28">
        <f>H60/(100-BD60)*100</f>
        <v>892.50000000000011</v>
      </c>
      <c r="BD60" s="28">
        <v>0</v>
      </c>
      <c r="BE60" s="28">
        <f>O60</f>
        <v>3.8480000000000003E-3</v>
      </c>
      <c r="BG60" s="28">
        <f>G60*AN60</f>
        <v>3585.4000018200004</v>
      </c>
      <c r="BH60" s="28">
        <f>G60*AO60</f>
        <v>5696.5999981800005</v>
      </c>
      <c r="BI60" s="28">
        <f>G60*H60</f>
        <v>9282</v>
      </c>
      <c r="BJ60" s="28"/>
      <c r="BK60" s="28">
        <v>764</v>
      </c>
      <c r="BV60" s="28" t="str">
        <f>I60</f>
        <v>21</v>
      </c>
      <c r="BW60" s="4" t="s">
        <v>132</v>
      </c>
    </row>
    <row r="61" spans="1:75" ht="14.4" x14ac:dyDescent="0.3">
      <c r="A61" s="30"/>
      <c r="D61" s="31" t="s">
        <v>126</v>
      </c>
      <c r="E61" s="31" t="s">
        <v>127</v>
      </c>
      <c r="G61" s="32">
        <v>6</v>
      </c>
    </row>
    <row r="62" spans="1:75" ht="14.4" x14ac:dyDescent="0.3">
      <c r="A62" s="30"/>
      <c r="D62" s="31" t="s">
        <v>128</v>
      </c>
      <c r="E62" s="31" t="s">
        <v>129</v>
      </c>
      <c r="G62" s="32">
        <v>4.4000000000000004</v>
      </c>
    </row>
    <row r="63" spans="1:75" ht="14.4" x14ac:dyDescent="0.3">
      <c r="A63" s="2" t="s">
        <v>133</v>
      </c>
      <c r="B63" s="3" t="s">
        <v>11</v>
      </c>
      <c r="C63" s="3" t="s">
        <v>134</v>
      </c>
      <c r="D63" s="90" t="s">
        <v>135</v>
      </c>
      <c r="E63" s="87"/>
      <c r="F63" s="3" t="s">
        <v>136</v>
      </c>
      <c r="G63" s="28">
        <v>1</v>
      </c>
      <c r="H63" s="28">
        <v>1372.53</v>
      </c>
      <c r="I63" s="29" t="s">
        <v>56</v>
      </c>
      <c r="J63" s="28">
        <f>G63*AN63</f>
        <v>0</v>
      </c>
      <c r="K63" s="28">
        <f>G63*AO63</f>
        <v>1372.53</v>
      </c>
      <c r="L63" s="28">
        <f>G63*H63</f>
        <v>1372.53</v>
      </c>
      <c r="M63" s="28">
        <f>L63*(1+BV63/100)</f>
        <v>1660.7612999999999</v>
      </c>
      <c r="N63" s="28">
        <v>0</v>
      </c>
      <c r="O63" s="28">
        <f>G63*N63</f>
        <v>0</v>
      </c>
      <c r="Y63" s="28">
        <f>IF(AP63="5",BI63,0)</f>
        <v>0</v>
      </c>
      <c r="AA63" s="28">
        <f>IF(AP63="1",BG63,0)</f>
        <v>0</v>
      </c>
      <c r="AB63" s="28">
        <f>IF(AP63="1",BH63,0)</f>
        <v>0</v>
      </c>
      <c r="AC63" s="28">
        <f>IF(AP63="7",BG63,0)</f>
        <v>0</v>
      </c>
      <c r="AD63" s="28">
        <f>IF(AP63="7",BH63,0)</f>
        <v>0</v>
      </c>
      <c r="AE63" s="28">
        <f>IF(AP63="2",BG63,0)</f>
        <v>0</v>
      </c>
      <c r="AF63" s="28">
        <f>IF(AP63="2",BH63,0)</f>
        <v>1372.53</v>
      </c>
      <c r="AG63" s="28">
        <f>IF(AP63="0",BI63,0)</f>
        <v>0</v>
      </c>
      <c r="AH63" s="11" t="s">
        <v>11</v>
      </c>
      <c r="AI63" s="28">
        <f>IF(AM63=0,L63,0)</f>
        <v>0</v>
      </c>
      <c r="AJ63" s="28">
        <f>IF(AM63=12,L63,0)</f>
        <v>0</v>
      </c>
      <c r="AK63" s="28">
        <f>IF(AM63=21,L63,0)</f>
        <v>1372.53</v>
      </c>
      <c r="AM63" s="28">
        <v>21</v>
      </c>
      <c r="AN63" s="28">
        <f>H63*0</f>
        <v>0</v>
      </c>
      <c r="AO63" s="28">
        <f>H63*(1-0)</f>
        <v>1372.53</v>
      </c>
      <c r="AP63" s="29" t="s">
        <v>62</v>
      </c>
      <c r="AU63" s="28">
        <f>AV63+AW63</f>
        <v>1372.53</v>
      </c>
      <c r="AV63" s="28">
        <f>G63*AN63</f>
        <v>0</v>
      </c>
      <c r="AW63" s="28">
        <f>G63*AO63</f>
        <v>1372.53</v>
      </c>
      <c r="AX63" s="29" t="s">
        <v>125</v>
      </c>
      <c r="AY63" s="29" t="s">
        <v>105</v>
      </c>
      <c r="AZ63" s="11" t="s">
        <v>59</v>
      </c>
      <c r="BB63" s="28">
        <f>AV63+AW63</f>
        <v>1372.53</v>
      </c>
      <c r="BC63" s="28">
        <f>H63/(100-BD63)*100</f>
        <v>1372.53</v>
      </c>
      <c r="BD63" s="28">
        <v>0</v>
      </c>
      <c r="BE63" s="28">
        <f>O63</f>
        <v>0</v>
      </c>
      <c r="BG63" s="28">
        <f>G63*AN63</f>
        <v>0</v>
      </c>
      <c r="BH63" s="28">
        <f>G63*AO63</f>
        <v>1372.53</v>
      </c>
      <c r="BI63" s="28">
        <f>G63*H63</f>
        <v>1372.53</v>
      </c>
      <c r="BJ63" s="28"/>
      <c r="BK63" s="28">
        <v>764</v>
      </c>
      <c r="BV63" s="28" t="str">
        <f>I63</f>
        <v>21</v>
      </c>
      <c r="BW63" s="4" t="s">
        <v>135</v>
      </c>
    </row>
    <row r="64" spans="1:75" ht="14.4" x14ac:dyDescent="0.3">
      <c r="A64" s="2" t="s">
        <v>137</v>
      </c>
      <c r="B64" s="3" t="s">
        <v>11</v>
      </c>
      <c r="C64" s="3" t="s">
        <v>138</v>
      </c>
      <c r="D64" s="90" t="s">
        <v>139</v>
      </c>
      <c r="E64" s="87"/>
      <c r="F64" s="3" t="s">
        <v>140</v>
      </c>
      <c r="G64" s="28">
        <v>1</v>
      </c>
      <c r="H64" s="28">
        <v>21199.98</v>
      </c>
      <c r="I64" s="29" t="s">
        <v>56</v>
      </c>
      <c r="J64" s="28">
        <f>G64*AN64</f>
        <v>10209.68000901732</v>
      </c>
      <c r="K64" s="28">
        <f>G64*AO64</f>
        <v>10990.299990982679</v>
      </c>
      <c r="L64" s="28">
        <f>G64*H64</f>
        <v>21199.98</v>
      </c>
      <c r="M64" s="28">
        <f>L64*(1+BV64/100)</f>
        <v>25651.9758</v>
      </c>
      <c r="N64" s="28">
        <v>1.0959999999999999E-2</v>
      </c>
      <c r="O64" s="28">
        <f>G64*N64</f>
        <v>1.0959999999999999E-2</v>
      </c>
      <c r="Y64" s="28">
        <f>IF(AP64="5",BI64,0)</f>
        <v>0</v>
      </c>
      <c r="AA64" s="28">
        <f>IF(AP64="1",BG64,0)</f>
        <v>0</v>
      </c>
      <c r="AB64" s="28">
        <f>IF(AP64="1",BH64,0)</f>
        <v>0</v>
      </c>
      <c r="AC64" s="28">
        <f>IF(AP64="7",BG64,0)</f>
        <v>10209.68000901732</v>
      </c>
      <c r="AD64" s="28">
        <f>IF(AP64="7",BH64,0)</f>
        <v>10990.299990982679</v>
      </c>
      <c r="AE64" s="28">
        <f>IF(AP64="2",BG64,0)</f>
        <v>0</v>
      </c>
      <c r="AF64" s="28">
        <f>IF(AP64="2",BH64,0)</f>
        <v>0</v>
      </c>
      <c r="AG64" s="28">
        <f>IF(AP64="0",BI64,0)</f>
        <v>0</v>
      </c>
      <c r="AH64" s="11" t="s">
        <v>11</v>
      </c>
      <c r="AI64" s="28">
        <f>IF(AM64=0,L64,0)</f>
        <v>0</v>
      </c>
      <c r="AJ64" s="28">
        <f>IF(AM64=12,L64,0)</f>
        <v>0</v>
      </c>
      <c r="AK64" s="28">
        <f>IF(AM64=21,L64,0)</f>
        <v>21199.98</v>
      </c>
      <c r="AM64" s="28">
        <v>21</v>
      </c>
      <c r="AN64" s="28">
        <f>H64*0.481589134</f>
        <v>10209.68000901732</v>
      </c>
      <c r="AO64" s="28">
        <f>H64*(1-0.481589134)</f>
        <v>10990.299990982679</v>
      </c>
      <c r="AP64" s="29" t="s">
        <v>84</v>
      </c>
      <c r="AU64" s="28">
        <f>AV64+AW64</f>
        <v>21199.98</v>
      </c>
      <c r="AV64" s="28">
        <f>G64*AN64</f>
        <v>10209.68000901732</v>
      </c>
      <c r="AW64" s="28">
        <f>G64*AO64</f>
        <v>10990.299990982679</v>
      </c>
      <c r="AX64" s="29" t="s">
        <v>125</v>
      </c>
      <c r="AY64" s="29" t="s">
        <v>105</v>
      </c>
      <c r="AZ64" s="11" t="s">
        <v>59</v>
      </c>
      <c r="BB64" s="28">
        <f>AV64+AW64</f>
        <v>21199.98</v>
      </c>
      <c r="BC64" s="28">
        <f>H64/(100-BD64)*100</f>
        <v>21199.98</v>
      </c>
      <c r="BD64" s="28">
        <v>0</v>
      </c>
      <c r="BE64" s="28">
        <f>O64</f>
        <v>1.0959999999999999E-2</v>
      </c>
      <c r="BG64" s="28">
        <f>G64*AN64</f>
        <v>10209.68000901732</v>
      </c>
      <c r="BH64" s="28">
        <f>G64*AO64</f>
        <v>10990.299990982679</v>
      </c>
      <c r="BI64" s="28">
        <f>G64*H64</f>
        <v>21199.98</v>
      </c>
      <c r="BJ64" s="28"/>
      <c r="BK64" s="28">
        <v>764</v>
      </c>
      <c r="BV64" s="28" t="str">
        <f>I64</f>
        <v>21</v>
      </c>
      <c r="BW64" s="4" t="s">
        <v>139</v>
      </c>
    </row>
    <row r="65" spans="1:75" ht="14.4" x14ac:dyDescent="0.3">
      <c r="A65" s="2" t="s">
        <v>141</v>
      </c>
      <c r="B65" s="3" t="s">
        <v>11</v>
      </c>
      <c r="C65" s="3" t="s">
        <v>142</v>
      </c>
      <c r="D65" s="90" t="s">
        <v>143</v>
      </c>
      <c r="E65" s="87"/>
      <c r="F65" s="3" t="s">
        <v>140</v>
      </c>
      <c r="G65" s="28">
        <v>1</v>
      </c>
      <c r="H65" s="28">
        <v>20000</v>
      </c>
      <c r="I65" s="29" t="s">
        <v>56</v>
      </c>
      <c r="J65" s="28">
        <f>G65*AN65</f>
        <v>6707.26</v>
      </c>
      <c r="K65" s="28">
        <f>G65*AO65</f>
        <v>13292.739999999998</v>
      </c>
      <c r="L65" s="28">
        <f>G65*H65</f>
        <v>20000</v>
      </c>
      <c r="M65" s="28">
        <f>L65*(1+BV65/100)</f>
        <v>24200</v>
      </c>
      <c r="N65" s="28">
        <v>4.2999999999999999E-4</v>
      </c>
      <c r="O65" s="28">
        <f>G65*N65</f>
        <v>4.2999999999999999E-4</v>
      </c>
      <c r="Y65" s="28">
        <f>IF(AP65="5",BI65,0)</f>
        <v>0</v>
      </c>
      <c r="AA65" s="28">
        <f>IF(AP65="1",BG65,0)</f>
        <v>0</v>
      </c>
      <c r="AB65" s="28">
        <f>IF(AP65="1",BH65,0)</f>
        <v>0</v>
      </c>
      <c r="AC65" s="28">
        <f>IF(AP65="7",BG65,0)</f>
        <v>6707.26</v>
      </c>
      <c r="AD65" s="28">
        <f>IF(AP65="7",BH65,0)</f>
        <v>13292.739999999998</v>
      </c>
      <c r="AE65" s="28">
        <f>IF(AP65="2",BG65,0)</f>
        <v>0</v>
      </c>
      <c r="AF65" s="28">
        <f>IF(AP65="2",BH65,0)</f>
        <v>0</v>
      </c>
      <c r="AG65" s="28">
        <f>IF(AP65="0",BI65,0)</f>
        <v>0</v>
      </c>
      <c r="AH65" s="11" t="s">
        <v>11</v>
      </c>
      <c r="AI65" s="28">
        <f>IF(AM65=0,L65,0)</f>
        <v>0</v>
      </c>
      <c r="AJ65" s="28">
        <f>IF(AM65=12,L65,0)</f>
        <v>0</v>
      </c>
      <c r="AK65" s="28">
        <f>IF(AM65=21,L65,0)</f>
        <v>20000</v>
      </c>
      <c r="AM65" s="28">
        <v>21</v>
      </c>
      <c r="AN65" s="28">
        <f>H65*0.335363</f>
        <v>6707.26</v>
      </c>
      <c r="AO65" s="28">
        <f>H65*(1-0.335363)</f>
        <v>13292.739999999998</v>
      </c>
      <c r="AP65" s="29" t="s">
        <v>84</v>
      </c>
      <c r="AU65" s="28">
        <f>AV65+AW65</f>
        <v>20000</v>
      </c>
      <c r="AV65" s="28">
        <f>G65*AN65</f>
        <v>6707.26</v>
      </c>
      <c r="AW65" s="28">
        <f>G65*AO65</f>
        <v>13292.739999999998</v>
      </c>
      <c r="AX65" s="29" t="s">
        <v>125</v>
      </c>
      <c r="AY65" s="29" t="s">
        <v>105</v>
      </c>
      <c r="AZ65" s="11" t="s">
        <v>59</v>
      </c>
      <c r="BB65" s="28">
        <f>AV65+AW65</f>
        <v>20000</v>
      </c>
      <c r="BC65" s="28">
        <f>H65/(100-BD65)*100</f>
        <v>20000</v>
      </c>
      <c r="BD65" s="28">
        <v>0</v>
      </c>
      <c r="BE65" s="28">
        <f>O65</f>
        <v>4.2999999999999999E-4</v>
      </c>
      <c r="BG65" s="28">
        <f>G65*AN65</f>
        <v>6707.26</v>
      </c>
      <c r="BH65" s="28">
        <f>G65*AO65</f>
        <v>13292.739999999998</v>
      </c>
      <c r="BI65" s="28">
        <f>G65*H65</f>
        <v>20000</v>
      </c>
      <c r="BJ65" s="28"/>
      <c r="BK65" s="28">
        <v>764</v>
      </c>
      <c r="BV65" s="28" t="str">
        <f>I65</f>
        <v>21</v>
      </c>
      <c r="BW65" s="4" t="s">
        <v>143</v>
      </c>
    </row>
    <row r="66" spans="1:75" ht="14.4" x14ac:dyDescent="0.3">
      <c r="A66" s="33" t="s">
        <v>11</v>
      </c>
      <c r="B66" s="34" t="s">
        <v>11</v>
      </c>
      <c r="C66" s="34" t="s">
        <v>144</v>
      </c>
      <c r="D66" s="156" t="s">
        <v>145</v>
      </c>
      <c r="E66" s="157"/>
      <c r="F66" s="35" t="s">
        <v>4</v>
      </c>
      <c r="G66" s="35" t="s">
        <v>4</v>
      </c>
      <c r="H66" s="35" t="s">
        <v>4</v>
      </c>
      <c r="I66" s="35" t="s">
        <v>4</v>
      </c>
      <c r="J66" s="1">
        <f>SUM(J67:J71)</f>
        <v>12135.91737782635</v>
      </c>
      <c r="K66" s="1">
        <f>SUM(K67:K71)</f>
        <v>6137.8616621736464</v>
      </c>
      <c r="L66" s="1">
        <f>SUM(L67:L71)</f>
        <v>18273.779039999998</v>
      </c>
      <c r="M66" s="1">
        <f>SUM(M67:M71)</f>
        <v>22111.272638399998</v>
      </c>
      <c r="N66" s="11" t="s">
        <v>11</v>
      </c>
      <c r="O66" s="1">
        <f>SUM(O67:O71)</f>
        <v>1.30590768</v>
      </c>
      <c r="AH66" s="11" t="s">
        <v>11</v>
      </c>
      <c r="AR66" s="1">
        <f>SUM(AI67:AI71)</f>
        <v>0</v>
      </c>
      <c r="AS66" s="1">
        <f>SUM(AJ67:AJ71)</f>
        <v>0</v>
      </c>
      <c r="AT66" s="1">
        <f>SUM(AK67:AK71)</f>
        <v>18273.779039999998</v>
      </c>
    </row>
    <row r="67" spans="1:75" ht="14.4" x14ac:dyDescent="0.3">
      <c r="A67" s="2" t="s">
        <v>56</v>
      </c>
      <c r="B67" s="3" t="s">
        <v>11</v>
      </c>
      <c r="C67" s="3" t="s">
        <v>146</v>
      </c>
      <c r="D67" s="90" t="s">
        <v>147</v>
      </c>
      <c r="E67" s="87"/>
      <c r="F67" s="3" t="s">
        <v>55</v>
      </c>
      <c r="G67" s="28">
        <v>11.747999999999999</v>
      </c>
      <c r="H67" s="28">
        <v>244.48</v>
      </c>
      <c r="I67" s="29" t="s">
        <v>56</v>
      </c>
      <c r="J67" s="28">
        <f>G67*AN67</f>
        <v>0</v>
      </c>
      <c r="K67" s="28">
        <f>G67*AO67</f>
        <v>2872.1510399999997</v>
      </c>
      <c r="L67" s="28">
        <f>G67*H67</f>
        <v>2872.1510399999997</v>
      </c>
      <c r="M67" s="28">
        <f>L67*(1+BV67/100)</f>
        <v>3475.3027583999997</v>
      </c>
      <c r="N67" s="28">
        <v>7.1650000000000005E-2</v>
      </c>
      <c r="O67" s="28">
        <f>G67*N67</f>
        <v>0.84174420000000005</v>
      </c>
      <c r="Y67" s="28">
        <f>IF(AP67="5",BI67,0)</f>
        <v>0</v>
      </c>
      <c r="AA67" s="28">
        <f>IF(AP67="1",BG67,0)</f>
        <v>0</v>
      </c>
      <c r="AB67" s="28">
        <f>IF(AP67="1",BH67,0)</f>
        <v>0</v>
      </c>
      <c r="AC67" s="28">
        <f>IF(AP67="7",BG67,0)</f>
        <v>0</v>
      </c>
      <c r="AD67" s="28">
        <f>IF(AP67="7",BH67,0)</f>
        <v>2872.1510399999997</v>
      </c>
      <c r="AE67" s="28">
        <f>IF(AP67="2",BG67,0)</f>
        <v>0</v>
      </c>
      <c r="AF67" s="28">
        <f>IF(AP67="2",BH67,0)</f>
        <v>0</v>
      </c>
      <c r="AG67" s="28">
        <f>IF(AP67="0",BI67,0)</f>
        <v>0</v>
      </c>
      <c r="AH67" s="11" t="s">
        <v>11</v>
      </c>
      <c r="AI67" s="28">
        <f>IF(AM67=0,L67,0)</f>
        <v>0</v>
      </c>
      <c r="AJ67" s="28">
        <f>IF(AM67=12,L67,0)</f>
        <v>0</v>
      </c>
      <c r="AK67" s="28">
        <f>IF(AM67=21,L67,0)</f>
        <v>2872.1510399999997</v>
      </c>
      <c r="AM67" s="28">
        <v>21</v>
      </c>
      <c r="AN67" s="28">
        <f>H67*0</f>
        <v>0</v>
      </c>
      <c r="AO67" s="28">
        <f>H67*(1-0)</f>
        <v>244.48</v>
      </c>
      <c r="AP67" s="29" t="s">
        <v>84</v>
      </c>
      <c r="AU67" s="28">
        <f>AV67+AW67</f>
        <v>2872.1510399999997</v>
      </c>
      <c r="AV67" s="28">
        <f>G67*AN67</f>
        <v>0</v>
      </c>
      <c r="AW67" s="28">
        <f>G67*AO67</f>
        <v>2872.1510399999997</v>
      </c>
      <c r="AX67" s="29" t="s">
        <v>148</v>
      </c>
      <c r="AY67" s="29" t="s">
        <v>105</v>
      </c>
      <c r="AZ67" s="11" t="s">
        <v>59</v>
      </c>
      <c r="BB67" s="28">
        <f>AV67+AW67</f>
        <v>2872.1510399999997</v>
      </c>
      <c r="BC67" s="28">
        <f>H67/(100-BD67)*100</f>
        <v>244.48</v>
      </c>
      <c r="BD67" s="28">
        <v>0</v>
      </c>
      <c r="BE67" s="28">
        <f>O67</f>
        <v>0.84174420000000005</v>
      </c>
      <c r="BG67" s="28">
        <f>G67*AN67</f>
        <v>0</v>
      </c>
      <c r="BH67" s="28">
        <f>G67*AO67</f>
        <v>2872.1510399999997</v>
      </c>
      <c r="BI67" s="28">
        <f>G67*H67</f>
        <v>2872.1510399999997</v>
      </c>
      <c r="BJ67" s="28"/>
      <c r="BK67" s="28">
        <v>765</v>
      </c>
      <c r="BV67" s="28" t="str">
        <f>I67</f>
        <v>21</v>
      </c>
      <c r="BW67" s="4" t="s">
        <v>147</v>
      </c>
    </row>
    <row r="68" spans="1:75" ht="14.4" x14ac:dyDescent="0.3">
      <c r="A68" s="30"/>
      <c r="D68" s="31" t="s">
        <v>106</v>
      </c>
      <c r="E68" s="31" t="s">
        <v>11</v>
      </c>
      <c r="G68" s="32">
        <v>11.747999999999999</v>
      </c>
    </row>
    <row r="69" spans="1:75" ht="26.4" x14ac:dyDescent="0.3">
      <c r="A69" s="2" t="s">
        <v>149</v>
      </c>
      <c r="B69" s="3" t="s">
        <v>11</v>
      </c>
      <c r="C69" s="3" t="s">
        <v>150</v>
      </c>
      <c r="D69" s="90" t="s">
        <v>151</v>
      </c>
      <c r="E69" s="87"/>
      <c r="F69" s="3" t="s">
        <v>55</v>
      </c>
      <c r="G69" s="28">
        <v>11.747999999999999</v>
      </c>
      <c r="H69" s="28">
        <v>1311</v>
      </c>
      <c r="I69" s="29" t="s">
        <v>56</v>
      </c>
      <c r="J69" s="28">
        <f>G69*AN69</f>
        <v>12135.91737782635</v>
      </c>
      <c r="K69" s="28">
        <f>G69*AO69</f>
        <v>3265.7106221736467</v>
      </c>
      <c r="L69" s="28">
        <f>G69*H69</f>
        <v>15401.627999999999</v>
      </c>
      <c r="M69" s="28">
        <f>L69*(1+BV69/100)</f>
        <v>18635.969879999997</v>
      </c>
      <c r="N69" s="28">
        <v>3.9510000000000003E-2</v>
      </c>
      <c r="O69" s="28">
        <f>G69*N69</f>
        <v>0.46416348000000002</v>
      </c>
      <c r="Y69" s="28">
        <f>IF(AP69="5",BI69,0)</f>
        <v>0</v>
      </c>
      <c r="AA69" s="28">
        <f>IF(AP69="1",BG69,0)</f>
        <v>0</v>
      </c>
      <c r="AB69" s="28">
        <f>IF(AP69="1",BH69,0)</f>
        <v>0</v>
      </c>
      <c r="AC69" s="28">
        <f>IF(AP69="7",BG69,0)</f>
        <v>12135.91737782635</v>
      </c>
      <c r="AD69" s="28">
        <f>IF(AP69="7",BH69,0)</f>
        <v>3265.7106221736467</v>
      </c>
      <c r="AE69" s="28">
        <f>IF(AP69="2",BG69,0)</f>
        <v>0</v>
      </c>
      <c r="AF69" s="28">
        <f>IF(AP69="2",BH69,0)</f>
        <v>0</v>
      </c>
      <c r="AG69" s="28">
        <f>IF(AP69="0",BI69,0)</f>
        <v>0</v>
      </c>
      <c r="AH69" s="11" t="s">
        <v>11</v>
      </c>
      <c r="AI69" s="28">
        <f>IF(AM69=0,L69,0)</f>
        <v>0</v>
      </c>
      <c r="AJ69" s="28">
        <f>IF(AM69=12,L69,0)</f>
        <v>0</v>
      </c>
      <c r="AK69" s="28">
        <f>IF(AM69=21,L69,0)</f>
        <v>15401.627999999999</v>
      </c>
      <c r="AM69" s="28">
        <v>21</v>
      </c>
      <c r="AN69" s="28">
        <f>H69*0.787963284</f>
        <v>1033.019865324</v>
      </c>
      <c r="AO69" s="28">
        <f>H69*(1-0.787963284)</f>
        <v>277.98013467599992</v>
      </c>
      <c r="AP69" s="29" t="s">
        <v>84</v>
      </c>
      <c r="AU69" s="28">
        <f>AV69+AW69</f>
        <v>15401.627999999997</v>
      </c>
      <c r="AV69" s="28">
        <f>G69*AN69</f>
        <v>12135.91737782635</v>
      </c>
      <c r="AW69" s="28">
        <f>G69*AO69</f>
        <v>3265.7106221736467</v>
      </c>
      <c r="AX69" s="29" t="s">
        <v>148</v>
      </c>
      <c r="AY69" s="29" t="s">
        <v>105</v>
      </c>
      <c r="AZ69" s="11" t="s">
        <v>59</v>
      </c>
      <c r="BB69" s="28">
        <f>AV69+AW69</f>
        <v>15401.627999999997</v>
      </c>
      <c r="BC69" s="28">
        <f>H69/(100-BD69)*100</f>
        <v>1311</v>
      </c>
      <c r="BD69" s="28">
        <v>0</v>
      </c>
      <c r="BE69" s="28">
        <f>O69</f>
        <v>0.46416348000000002</v>
      </c>
      <c r="BG69" s="28">
        <f>G69*AN69</f>
        <v>12135.91737782635</v>
      </c>
      <c r="BH69" s="28">
        <f>G69*AO69</f>
        <v>3265.7106221736467</v>
      </c>
      <c r="BI69" s="28">
        <f>G69*H69</f>
        <v>15401.627999999999</v>
      </c>
      <c r="BJ69" s="28"/>
      <c r="BK69" s="28">
        <v>765</v>
      </c>
      <c r="BV69" s="28" t="str">
        <f>I69</f>
        <v>21</v>
      </c>
      <c r="BW69" s="4" t="s">
        <v>151</v>
      </c>
    </row>
    <row r="70" spans="1:75" ht="14.4" x14ac:dyDescent="0.3">
      <c r="A70" s="30"/>
      <c r="D70" s="31" t="s">
        <v>106</v>
      </c>
      <c r="E70" s="31" t="s">
        <v>107</v>
      </c>
      <c r="G70" s="32">
        <v>11.747999999999999</v>
      </c>
    </row>
    <row r="71" spans="1:75" ht="14.4" x14ac:dyDescent="0.3">
      <c r="A71" s="2" t="s">
        <v>152</v>
      </c>
      <c r="B71" s="3" t="s">
        <v>11</v>
      </c>
      <c r="C71" s="3" t="s">
        <v>153</v>
      </c>
      <c r="D71" s="90" t="s">
        <v>154</v>
      </c>
      <c r="E71" s="87"/>
      <c r="F71" s="3" t="s">
        <v>98</v>
      </c>
      <c r="G71" s="28">
        <v>0</v>
      </c>
      <c r="H71" s="28">
        <v>1236.01</v>
      </c>
      <c r="I71" s="29" t="s">
        <v>56</v>
      </c>
      <c r="J71" s="28">
        <f>G71*AN71</f>
        <v>0</v>
      </c>
      <c r="K71" s="28">
        <f>G71*AO71</f>
        <v>0</v>
      </c>
      <c r="L71" s="28">
        <f>G71*H71</f>
        <v>0</v>
      </c>
      <c r="M71" s="28">
        <f>L71*(1+BV71/100)</f>
        <v>0</v>
      </c>
      <c r="N71" s="28">
        <v>0</v>
      </c>
      <c r="O71" s="28">
        <f>G71*N71</f>
        <v>0</v>
      </c>
      <c r="Y71" s="28">
        <f>IF(AP71="5",BI71,0)</f>
        <v>0</v>
      </c>
      <c r="AA71" s="28">
        <f>IF(AP71="1",BG71,0)</f>
        <v>0</v>
      </c>
      <c r="AB71" s="28">
        <f>IF(AP71="1",BH71,0)</f>
        <v>0</v>
      </c>
      <c r="AC71" s="28">
        <f>IF(AP71="7",BG71,0)</f>
        <v>0</v>
      </c>
      <c r="AD71" s="28">
        <f>IF(AP71="7",BH71,0)</f>
        <v>0</v>
      </c>
      <c r="AE71" s="28">
        <f>IF(AP71="2",BG71,0)</f>
        <v>0</v>
      </c>
      <c r="AF71" s="28">
        <f>IF(AP71="2",BH71,0)</f>
        <v>0</v>
      </c>
      <c r="AG71" s="28">
        <f>IF(AP71="0",BI71,0)</f>
        <v>0</v>
      </c>
      <c r="AH71" s="11" t="s">
        <v>11</v>
      </c>
      <c r="AI71" s="28">
        <f>IF(AM71=0,L71,0)</f>
        <v>0</v>
      </c>
      <c r="AJ71" s="28">
        <f>IF(AM71=12,L71,0)</f>
        <v>0</v>
      </c>
      <c r="AK71" s="28">
        <f>IF(AM71=21,L71,0)</f>
        <v>0</v>
      </c>
      <c r="AM71" s="28">
        <v>21</v>
      </c>
      <c r="AN71" s="28">
        <f>H71*0</f>
        <v>0</v>
      </c>
      <c r="AO71" s="28">
        <f>H71*(1-0)</f>
        <v>1236.01</v>
      </c>
      <c r="AP71" s="29" t="s">
        <v>71</v>
      </c>
      <c r="AU71" s="28">
        <f>AV71+AW71</f>
        <v>0</v>
      </c>
      <c r="AV71" s="28">
        <f>G71*AN71</f>
        <v>0</v>
      </c>
      <c r="AW71" s="28">
        <f>G71*AO71</f>
        <v>0</v>
      </c>
      <c r="AX71" s="29" t="s">
        <v>148</v>
      </c>
      <c r="AY71" s="29" t="s">
        <v>105</v>
      </c>
      <c r="AZ71" s="11" t="s">
        <v>59</v>
      </c>
      <c r="BB71" s="28">
        <f>AV71+AW71</f>
        <v>0</v>
      </c>
      <c r="BC71" s="28">
        <f>H71/(100-BD71)*100</f>
        <v>1236.01</v>
      </c>
      <c r="BD71" s="28">
        <v>0</v>
      </c>
      <c r="BE71" s="28">
        <f>O71</f>
        <v>0</v>
      </c>
      <c r="BG71" s="28">
        <f>G71*AN71</f>
        <v>0</v>
      </c>
      <c r="BH71" s="28">
        <f>G71*AO71</f>
        <v>0</v>
      </c>
      <c r="BI71" s="28">
        <f>G71*H71</f>
        <v>0</v>
      </c>
      <c r="BJ71" s="28"/>
      <c r="BK71" s="28">
        <v>765</v>
      </c>
      <c r="BV71" s="28" t="str">
        <f>I71</f>
        <v>21</v>
      </c>
      <c r="BW71" s="4" t="s">
        <v>154</v>
      </c>
    </row>
    <row r="72" spans="1:75" ht="14.4" x14ac:dyDescent="0.3">
      <c r="A72" s="33" t="s">
        <v>11</v>
      </c>
      <c r="B72" s="34" t="s">
        <v>11</v>
      </c>
      <c r="C72" s="34" t="s">
        <v>155</v>
      </c>
      <c r="D72" s="156" t="s">
        <v>156</v>
      </c>
      <c r="E72" s="157"/>
      <c r="F72" s="35" t="s">
        <v>4</v>
      </c>
      <c r="G72" s="35" t="s">
        <v>4</v>
      </c>
      <c r="H72" s="35" t="s">
        <v>4</v>
      </c>
      <c r="I72" s="35" t="s">
        <v>4</v>
      </c>
      <c r="J72" s="1">
        <f>SUM(J73:J74)</f>
        <v>10180.64999</v>
      </c>
      <c r="K72" s="1">
        <f>SUM(K73:K74)</f>
        <v>39819.350009999995</v>
      </c>
      <c r="L72" s="1">
        <f>SUM(L73:L74)</f>
        <v>50000</v>
      </c>
      <c r="M72" s="1">
        <f>SUM(M73:M74)</f>
        <v>60500</v>
      </c>
      <c r="N72" s="11" t="s">
        <v>11</v>
      </c>
      <c r="O72" s="1">
        <f>SUM(O73:O74)</f>
        <v>4.0600000000000002E-3</v>
      </c>
      <c r="AH72" s="11" t="s">
        <v>11</v>
      </c>
      <c r="AR72" s="1">
        <f>SUM(AI73:AI74)</f>
        <v>0</v>
      </c>
      <c r="AS72" s="1">
        <f>SUM(AJ73:AJ74)</f>
        <v>0</v>
      </c>
      <c r="AT72" s="1">
        <f>SUM(AK73:AK74)</f>
        <v>50000</v>
      </c>
    </row>
    <row r="73" spans="1:75" ht="14.4" x14ac:dyDescent="0.3">
      <c r="A73" s="2" t="s">
        <v>157</v>
      </c>
      <c r="B73" s="3" t="s">
        <v>11</v>
      </c>
      <c r="C73" s="3" t="s">
        <v>158</v>
      </c>
      <c r="D73" s="90" t="s">
        <v>159</v>
      </c>
      <c r="E73" s="87"/>
      <c r="F73" s="3" t="s">
        <v>136</v>
      </c>
      <c r="G73" s="28">
        <v>1</v>
      </c>
      <c r="H73" s="28">
        <v>20000</v>
      </c>
      <c r="I73" s="29" t="s">
        <v>56</v>
      </c>
      <c r="J73" s="28">
        <f>G73*AN73</f>
        <v>3774.5899999999997</v>
      </c>
      <c r="K73" s="28">
        <f>G73*AO73</f>
        <v>16225.41</v>
      </c>
      <c r="L73" s="28">
        <f>G73*H73</f>
        <v>20000</v>
      </c>
      <c r="M73" s="28">
        <f>L73*(1+BV73/100)</f>
        <v>24200</v>
      </c>
      <c r="N73" s="28">
        <v>1.2199999999999999E-3</v>
      </c>
      <c r="O73" s="28">
        <f>G73*N73</f>
        <v>1.2199999999999999E-3</v>
      </c>
      <c r="Y73" s="28">
        <f>IF(AP73="5",BI73,0)</f>
        <v>0</v>
      </c>
      <c r="AA73" s="28">
        <f>IF(AP73="1",BG73,0)</f>
        <v>0</v>
      </c>
      <c r="AB73" s="28">
        <f>IF(AP73="1",BH73,0)</f>
        <v>0</v>
      </c>
      <c r="AC73" s="28">
        <f>IF(AP73="7",BG73,0)</f>
        <v>3774.5899999999997</v>
      </c>
      <c r="AD73" s="28">
        <f>IF(AP73="7",BH73,0)</f>
        <v>16225.41</v>
      </c>
      <c r="AE73" s="28">
        <f>IF(AP73="2",BG73,0)</f>
        <v>0</v>
      </c>
      <c r="AF73" s="28">
        <f>IF(AP73="2",BH73,0)</f>
        <v>0</v>
      </c>
      <c r="AG73" s="28">
        <f>IF(AP73="0",BI73,0)</f>
        <v>0</v>
      </c>
      <c r="AH73" s="11" t="s">
        <v>11</v>
      </c>
      <c r="AI73" s="28">
        <f>IF(AM73=0,L73,0)</f>
        <v>0</v>
      </c>
      <c r="AJ73" s="28">
        <f>IF(AM73=12,L73,0)</f>
        <v>0</v>
      </c>
      <c r="AK73" s="28">
        <f>IF(AM73=21,L73,0)</f>
        <v>20000</v>
      </c>
      <c r="AM73" s="28">
        <v>21</v>
      </c>
      <c r="AN73" s="28">
        <f>H73*0.1887295</f>
        <v>3774.5899999999997</v>
      </c>
      <c r="AO73" s="28">
        <f>H73*(1-0.1887295)</f>
        <v>16225.41</v>
      </c>
      <c r="AP73" s="29" t="s">
        <v>84</v>
      </c>
      <c r="AU73" s="28">
        <f>AV73+AW73</f>
        <v>20000</v>
      </c>
      <c r="AV73" s="28">
        <f>G73*AN73</f>
        <v>3774.5899999999997</v>
      </c>
      <c r="AW73" s="28">
        <f>G73*AO73</f>
        <v>16225.41</v>
      </c>
      <c r="AX73" s="29" t="s">
        <v>160</v>
      </c>
      <c r="AY73" s="29" t="s">
        <v>105</v>
      </c>
      <c r="AZ73" s="11" t="s">
        <v>59</v>
      </c>
      <c r="BB73" s="28">
        <f>AV73+AW73</f>
        <v>20000</v>
      </c>
      <c r="BC73" s="28">
        <f>H73/(100-BD73)*100</f>
        <v>20000</v>
      </c>
      <c r="BD73" s="28">
        <v>0</v>
      </c>
      <c r="BE73" s="28">
        <f>O73</f>
        <v>1.2199999999999999E-3</v>
      </c>
      <c r="BG73" s="28">
        <f>G73*AN73</f>
        <v>3774.5899999999997</v>
      </c>
      <c r="BH73" s="28">
        <f>G73*AO73</f>
        <v>16225.41</v>
      </c>
      <c r="BI73" s="28">
        <f>G73*H73</f>
        <v>20000</v>
      </c>
      <c r="BJ73" s="28"/>
      <c r="BK73" s="28">
        <v>766</v>
      </c>
      <c r="BV73" s="28" t="str">
        <f>I73</f>
        <v>21</v>
      </c>
      <c r="BW73" s="4" t="s">
        <v>159</v>
      </c>
    </row>
    <row r="74" spans="1:75" ht="14.4" x14ac:dyDescent="0.3">
      <c r="A74" s="2" t="s">
        <v>161</v>
      </c>
      <c r="B74" s="3" t="s">
        <v>11</v>
      </c>
      <c r="C74" s="3" t="s">
        <v>162</v>
      </c>
      <c r="D74" s="90" t="s">
        <v>163</v>
      </c>
      <c r="E74" s="87"/>
      <c r="F74" s="3" t="s">
        <v>136</v>
      </c>
      <c r="G74" s="28">
        <v>2</v>
      </c>
      <c r="H74" s="28">
        <v>15000</v>
      </c>
      <c r="I74" s="29" t="s">
        <v>56</v>
      </c>
      <c r="J74" s="28">
        <f>G74*AN74</f>
        <v>6406.0599899999997</v>
      </c>
      <c r="K74" s="28">
        <f>G74*AO74</f>
        <v>23593.940009999998</v>
      </c>
      <c r="L74" s="28">
        <f>G74*H74</f>
        <v>30000</v>
      </c>
      <c r="M74" s="28">
        <f>L74*(1+BV74/100)</f>
        <v>36300</v>
      </c>
      <c r="N74" s="28">
        <v>1.42E-3</v>
      </c>
      <c r="O74" s="28">
        <f>G74*N74</f>
        <v>2.8400000000000001E-3</v>
      </c>
      <c r="Y74" s="28">
        <f>IF(AP74="5",BI74,0)</f>
        <v>0</v>
      </c>
      <c r="AA74" s="28">
        <f>IF(AP74="1",BG74,0)</f>
        <v>0</v>
      </c>
      <c r="AB74" s="28">
        <f>IF(AP74="1",BH74,0)</f>
        <v>0</v>
      </c>
      <c r="AC74" s="28">
        <f>IF(AP74="7",BG74,0)</f>
        <v>6406.0599899999997</v>
      </c>
      <c r="AD74" s="28">
        <f>IF(AP74="7",BH74,0)</f>
        <v>23593.940009999998</v>
      </c>
      <c r="AE74" s="28">
        <f>IF(AP74="2",BG74,0)</f>
        <v>0</v>
      </c>
      <c r="AF74" s="28">
        <f>IF(AP74="2",BH74,0)</f>
        <v>0</v>
      </c>
      <c r="AG74" s="28">
        <f>IF(AP74="0",BI74,0)</f>
        <v>0</v>
      </c>
      <c r="AH74" s="11" t="s">
        <v>11</v>
      </c>
      <c r="AI74" s="28">
        <f>IF(AM74=0,L74,0)</f>
        <v>0</v>
      </c>
      <c r="AJ74" s="28">
        <f>IF(AM74=12,L74,0)</f>
        <v>0</v>
      </c>
      <c r="AK74" s="28">
        <f>IF(AM74=21,L74,0)</f>
        <v>30000</v>
      </c>
      <c r="AM74" s="28">
        <v>21</v>
      </c>
      <c r="AN74" s="28">
        <f>H74*0.213535333</f>
        <v>3203.0299949999999</v>
      </c>
      <c r="AO74" s="28">
        <f>H74*(1-0.213535333)</f>
        <v>11796.970004999999</v>
      </c>
      <c r="AP74" s="29" t="s">
        <v>84</v>
      </c>
      <c r="AU74" s="28">
        <f>AV74+AW74</f>
        <v>30000</v>
      </c>
      <c r="AV74" s="28">
        <f>G74*AN74</f>
        <v>6406.0599899999997</v>
      </c>
      <c r="AW74" s="28">
        <f>G74*AO74</f>
        <v>23593.940009999998</v>
      </c>
      <c r="AX74" s="29" t="s">
        <v>160</v>
      </c>
      <c r="AY74" s="29" t="s">
        <v>105</v>
      </c>
      <c r="AZ74" s="11" t="s">
        <v>59</v>
      </c>
      <c r="BB74" s="28">
        <f>AV74+AW74</f>
        <v>30000</v>
      </c>
      <c r="BC74" s="28">
        <f>H74/(100-BD74)*100</f>
        <v>15000</v>
      </c>
      <c r="BD74" s="28">
        <v>0</v>
      </c>
      <c r="BE74" s="28">
        <f>O74</f>
        <v>2.8400000000000001E-3</v>
      </c>
      <c r="BG74" s="28">
        <f>G74*AN74</f>
        <v>6406.0599899999997</v>
      </c>
      <c r="BH74" s="28">
        <f>G74*AO74</f>
        <v>23593.940009999998</v>
      </c>
      <c r="BI74" s="28">
        <f>G74*H74</f>
        <v>30000</v>
      </c>
      <c r="BJ74" s="28"/>
      <c r="BK74" s="28">
        <v>766</v>
      </c>
      <c r="BV74" s="28" t="str">
        <f>I74</f>
        <v>21</v>
      </c>
      <c r="BW74" s="4" t="s">
        <v>163</v>
      </c>
    </row>
    <row r="75" spans="1:75" ht="14.4" x14ac:dyDescent="0.3">
      <c r="A75" s="33" t="s">
        <v>11</v>
      </c>
      <c r="B75" s="34" t="s">
        <v>11</v>
      </c>
      <c r="C75" s="34" t="s">
        <v>164</v>
      </c>
      <c r="D75" s="156" t="s">
        <v>165</v>
      </c>
      <c r="E75" s="157"/>
      <c r="F75" s="35" t="s">
        <v>4</v>
      </c>
      <c r="G75" s="35" t="s">
        <v>4</v>
      </c>
      <c r="H75" s="35" t="s">
        <v>4</v>
      </c>
      <c r="I75" s="35" t="s">
        <v>4</v>
      </c>
      <c r="J75" s="1">
        <f>SUM(J76:J76)</f>
        <v>2.0304045176400001</v>
      </c>
      <c r="K75" s="1">
        <f>SUM(K76:K76)</f>
        <v>14719.046395482361</v>
      </c>
      <c r="L75" s="1">
        <f>SUM(L76:L76)</f>
        <v>14721.076800000001</v>
      </c>
      <c r="M75" s="1">
        <f>SUM(M76:M76)</f>
        <v>17812.502928000002</v>
      </c>
      <c r="N75" s="11" t="s">
        <v>11</v>
      </c>
      <c r="O75" s="1">
        <f>SUM(O76:O76)</f>
        <v>1.2439584000000001</v>
      </c>
      <c r="AH75" s="11" t="s">
        <v>11</v>
      </c>
      <c r="AR75" s="1">
        <f>SUM(AI76:AI76)</f>
        <v>0</v>
      </c>
      <c r="AS75" s="1">
        <f>SUM(AJ76:AJ76)</f>
        <v>0</v>
      </c>
      <c r="AT75" s="1">
        <f>SUM(AK76:AK76)</f>
        <v>14721.076800000001</v>
      </c>
    </row>
    <row r="76" spans="1:75" ht="14.4" x14ac:dyDescent="0.3">
      <c r="A76" s="2" t="s">
        <v>166</v>
      </c>
      <c r="B76" s="3" t="s">
        <v>11</v>
      </c>
      <c r="C76" s="3" t="s">
        <v>167</v>
      </c>
      <c r="D76" s="90" t="s">
        <v>168</v>
      </c>
      <c r="E76" s="87"/>
      <c r="F76" s="3" t="s">
        <v>55</v>
      </c>
      <c r="G76" s="28">
        <v>67.680000000000007</v>
      </c>
      <c r="H76" s="28">
        <v>217.51</v>
      </c>
      <c r="I76" s="29" t="s">
        <v>56</v>
      </c>
      <c r="J76" s="28">
        <f>G76*AN76</f>
        <v>2.0304045176400001</v>
      </c>
      <c r="K76" s="28">
        <f>G76*AO76</f>
        <v>14719.046395482361</v>
      </c>
      <c r="L76" s="28">
        <f>G76*H76</f>
        <v>14721.076800000001</v>
      </c>
      <c r="M76" s="28">
        <f>L76*(1+BV76/100)</f>
        <v>17812.502928000002</v>
      </c>
      <c r="N76" s="28">
        <v>1.8380000000000001E-2</v>
      </c>
      <c r="O76" s="28">
        <f>G76*N76</f>
        <v>1.2439584000000001</v>
      </c>
      <c r="Y76" s="28">
        <f>IF(AP76="5",BI76,0)</f>
        <v>0</v>
      </c>
      <c r="AA76" s="28">
        <f>IF(AP76="1",BG76,0)</f>
        <v>2.0304045176400001</v>
      </c>
      <c r="AB76" s="28">
        <f>IF(AP76="1",BH76,0)</f>
        <v>14719.046395482361</v>
      </c>
      <c r="AC76" s="28">
        <f>IF(AP76="7",BG76,0)</f>
        <v>0</v>
      </c>
      <c r="AD76" s="28">
        <f>IF(AP76="7",BH76,0)</f>
        <v>0</v>
      </c>
      <c r="AE76" s="28">
        <f>IF(AP76="2",BG76,0)</f>
        <v>0</v>
      </c>
      <c r="AF76" s="28">
        <f>IF(AP76="2",BH76,0)</f>
        <v>0</v>
      </c>
      <c r="AG76" s="28">
        <f>IF(AP76="0",BI76,0)</f>
        <v>0</v>
      </c>
      <c r="AH76" s="11" t="s">
        <v>11</v>
      </c>
      <c r="AI76" s="28">
        <f>IF(AM76=0,L76,0)</f>
        <v>0</v>
      </c>
      <c r="AJ76" s="28">
        <f>IF(AM76=12,L76,0)</f>
        <v>0</v>
      </c>
      <c r="AK76" s="28">
        <f>IF(AM76=21,L76,0)</f>
        <v>14721.076800000001</v>
      </c>
      <c r="AM76" s="28">
        <v>21</v>
      </c>
      <c r="AN76" s="28">
        <f>H76*0.000137925</f>
        <v>3.0000066749999998E-2</v>
      </c>
      <c r="AO76" s="28">
        <f>H76*(1-0.000137925)</f>
        <v>217.47999993324999</v>
      </c>
      <c r="AP76" s="29" t="s">
        <v>52</v>
      </c>
      <c r="AU76" s="28">
        <f>AV76+AW76</f>
        <v>14721.076800000001</v>
      </c>
      <c r="AV76" s="28">
        <f>G76*AN76</f>
        <v>2.0304045176400001</v>
      </c>
      <c r="AW76" s="28">
        <f>G76*AO76</f>
        <v>14719.046395482361</v>
      </c>
      <c r="AX76" s="29" t="s">
        <v>169</v>
      </c>
      <c r="AY76" s="29" t="s">
        <v>170</v>
      </c>
      <c r="AZ76" s="11" t="s">
        <v>59</v>
      </c>
      <c r="BB76" s="28">
        <f>AV76+AW76</f>
        <v>14721.076800000001</v>
      </c>
      <c r="BC76" s="28">
        <f>H76/(100-BD76)*100</f>
        <v>217.51</v>
      </c>
      <c r="BD76" s="28">
        <v>0</v>
      </c>
      <c r="BE76" s="28">
        <f>O76</f>
        <v>1.2439584000000001</v>
      </c>
      <c r="BG76" s="28">
        <f>G76*AN76</f>
        <v>2.0304045176400001</v>
      </c>
      <c r="BH76" s="28">
        <f>G76*AO76</f>
        <v>14719.046395482361</v>
      </c>
      <c r="BI76" s="28">
        <f>G76*H76</f>
        <v>14721.076800000001</v>
      </c>
      <c r="BJ76" s="28"/>
      <c r="BK76" s="28">
        <v>94</v>
      </c>
      <c r="BV76" s="28" t="str">
        <f>I76</f>
        <v>21</v>
      </c>
      <c r="BW76" s="4" t="s">
        <v>168</v>
      </c>
    </row>
    <row r="77" spans="1:75" ht="14.4" x14ac:dyDescent="0.3">
      <c r="A77" s="30"/>
      <c r="D77" s="31" t="s">
        <v>171</v>
      </c>
      <c r="E77" s="31" t="s">
        <v>11</v>
      </c>
      <c r="G77" s="32">
        <v>33.119999999999997</v>
      </c>
    </row>
    <row r="78" spans="1:75" ht="14.4" x14ac:dyDescent="0.3">
      <c r="A78" s="36"/>
      <c r="B78" s="37"/>
      <c r="C78" s="37"/>
      <c r="D78" s="38" t="s">
        <v>172</v>
      </c>
      <c r="E78" s="38" t="s">
        <v>11</v>
      </c>
      <c r="F78" s="37"/>
      <c r="G78" s="39">
        <v>34.56</v>
      </c>
      <c r="H78" s="37"/>
      <c r="I78" s="37"/>
      <c r="J78" s="37"/>
      <c r="K78" s="37"/>
      <c r="L78" s="37"/>
      <c r="M78" s="37"/>
      <c r="N78" s="37"/>
      <c r="O78" s="37"/>
    </row>
    <row r="79" spans="1:75" ht="14.4" x14ac:dyDescent="0.3">
      <c r="J79" s="140" t="s">
        <v>173</v>
      </c>
      <c r="K79" s="140"/>
      <c r="L79" s="40">
        <f>L12+L46+L56+L66+L72+L75</f>
        <v>338357.42330999998</v>
      </c>
      <c r="M79" s="40">
        <f>M12+M46+M56+M66+M72+M75</f>
        <v>409412.48220509995</v>
      </c>
    </row>
    <row r="80" spans="1:75" ht="14.4" x14ac:dyDescent="0.3">
      <c r="A80" s="41" t="s">
        <v>174</v>
      </c>
    </row>
    <row r="81" spans="1:15" ht="12.75" customHeight="1" x14ac:dyDescent="0.3">
      <c r="A81" s="90" t="s">
        <v>11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</row>
  </sheetData>
  <mergeCells count="63">
    <mergeCell ref="J79:K79"/>
    <mergeCell ref="A81:O81"/>
    <mergeCell ref="D72:E72"/>
    <mergeCell ref="D73:E73"/>
    <mergeCell ref="D74:E74"/>
    <mergeCell ref="D75:E75"/>
    <mergeCell ref="D76:E76"/>
    <mergeCell ref="D65:E65"/>
    <mergeCell ref="D66:E66"/>
    <mergeCell ref="D67:E67"/>
    <mergeCell ref="D69:E69"/>
    <mergeCell ref="D71:E71"/>
    <mergeCell ref="D56:E56"/>
    <mergeCell ref="D57:E57"/>
    <mergeCell ref="D60:E60"/>
    <mergeCell ref="D63:E63"/>
    <mergeCell ref="D64:E64"/>
    <mergeCell ref="D47:E47"/>
    <mergeCell ref="D49:E49"/>
    <mergeCell ref="D51:E51"/>
    <mergeCell ref="D53:E53"/>
    <mergeCell ref="D55:E55"/>
    <mergeCell ref="D31:E31"/>
    <mergeCell ref="D37:E37"/>
    <mergeCell ref="D43:E43"/>
    <mergeCell ref="D45:E45"/>
    <mergeCell ref="D46:E46"/>
    <mergeCell ref="D15:E15"/>
    <mergeCell ref="D17:E17"/>
    <mergeCell ref="D19:E19"/>
    <mergeCell ref="D21:E21"/>
    <mergeCell ref="D26:E26"/>
    <mergeCell ref="D11:E11"/>
    <mergeCell ref="J10:L10"/>
    <mergeCell ref="N10:O10"/>
    <mergeCell ref="D12:E12"/>
    <mergeCell ref="D13:E13"/>
    <mergeCell ref="K2:O3"/>
    <mergeCell ref="K4:O5"/>
    <mergeCell ref="K6:O7"/>
    <mergeCell ref="K8:O9"/>
    <mergeCell ref="D10:E10"/>
    <mergeCell ref="D8:E9"/>
    <mergeCell ref="H2:H3"/>
    <mergeCell ref="H4:H5"/>
    <mergeCell ref="H6:H7"/>
    <mergeCell ref="H8:H9"/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0"/>
  <sheetViews>
    <sheetView tabSelected="1" topLeftCell="A3" workbookViewId="0">
      <selection activeCell="H10" sqref="H1:H1048576"/>
    </sheetView>
  </sheetViews>
  <sheetFormatPr defaultColWidth="12.109375" defaultRowHeight="15" customHeight="1" x14ac:dyDescent="0.3"/>
  <cols>
    <col min="1" max="2" width="9.109375" customWidth="1"/>
    <col min="3" max="3" width="14.33203125" customWidth="1"/>
    <col min="4" max="4" width="42.88671875" customWidth="1"/>
    <col min="5" max="5" width="14.6640625" bestFit="1" customWidth="1"/>
    <col min="6" max="6" width="24.109375" customWidth="1"/>
    <col min="7" max="7" width="15.6640625" customWidth="1"/>
  </cols>
  <sheetData>
    <row r="1" spans="1:7" ht="54.75" customHeight="1" x14ac:dyDescent="0.3">
      <c r="A1" s="83" t="s">
        <v>177</v>
      </c>
      <c r="B1" s="83"/>
      <c r="C1" s="83"/>
      <c r="D1" s="83"/>
      <c r="E1" s="83"/>
      <c r="F1" s="83"/>
      <c r="G1" s="83"/>
    </row>
    <row r="2" spans="1:7" ht="14.4" x14ac:dyDescent="0.3">
      <c r="A2" s="84" t="s">
        <v>1</v>
      </c>
      <c r="B2" s="85"/>
      <c r="C2" s="94" t="str">
        <f>'Stavební rozpočet'!D2</f>
        <v>Oprava kaple Urbanice</v>
      </c>
      <c r="D2" s="95"/>
      <c r="E2" s="89" t="s">
        <v>5</v>
      </c>
      <c r="F2" s="89" t="str">
        <f>'Stavební rozpočet'!K2</f>
        <v> </v>
      </c>
      <c r="G2" s="85"/>
    </row>
    <row r="3" spans="1:7" ht="15" customHeight="1" x14ac:dyDescent="0.3">
      <c r="A3" s="86"/>
      <c r="B3" s="87"/>
      <c r="C3" s="96"/>
      <c r="D3" s="96"/>
      <c r="E3" s="87"/>
      <c r="F3" s="87"/>
      <c r="G3" s="87"/>
    </row>
    <row r="4" spans="1:7" ht="14.4" x14ac:dyDescent="0.3">
      <c r="A4" s="88" t="s">
        <v>7</v>
      </c>
      <c r="B4" s="87"/>
      <c r="C4" s="90" t="str">
        <f>'Stavební rozpočet'!D4</f>
        <v xml:space="preserve"> </v>
      </c>
      <c r="D4" s="87"/>
      <c r="E4" s="90" t="s">
        <v>9</v>
      </c>
      <c r="F4" s="90" t="str">
        <f>'Stavební rozpočet'!K4</f>
        <v> </v>
      </c>
      <c r="G4" s="87"/>
    </row>
    <row r="5" spans="1:7" ht="15" customHeight="1" x14ac:dyDescent="0.3">
      <c r="A5" s="86"/>
      <c r="B5" s="87"/>
      <c r="C5" s="87"/>
      <c r="D5" s="87"/>
      <c r="E5" s="87"/>
      <c r="F5" s="87"/>
      <c r="G5" s="87"/>
    </row>
    <row r="6" spans="1:7" ht="14.4" x14ac:dyDescent="0.3">
      <c r="A6" s="88" t="s">
        <v>10</v>
      </c>
      <c r="B6" s="87"/>
      <c r="C6" s="90" t="str">
        <f>'Stavební rozpočet'!D6</f>
        <v xml:space="preserve"> </v>
      </c>
      <c r="D6" s="87"/>
      <c r="E6" s="90" t="s">
        <v>12</v>
      </c>
      <c r="F6" s="90" t="str">
        <f>'Stavební rozpočet'!K6</f>
        <v> </v>
      </c>
      <c r="G6" s="87"/>
    </row>
    <row r="7" spans="1:7" ht="15" customHeight="1" x14ac:dyDescent="0.3">
      <c r="A7" s="86"/>
      <c r="B7" s="87"/>
      <c r="C7" s="87"/>
      <c r="D7" s="87"/>
      <c r="E7" s="87"/>
      <c r="F7" s="87"/>
      <c r="G7" s="87"/>
    </row>
    <row r="8" spans="1:7" ht="14.4" x14ac:dyDescent="0.3">
      <c r="A8" s="88" t="s">
        <v>16</v>
      </c>
      <c r="B8" s="87"/>
      <c r="C8" s="90" t="str">
        <f>'Stavební rozpočet'!K8</f>
        <v>Martin Misař</v>
      </c>
      <c r="D8" s="87"/>
      <c r="E8" s="90" t="s">
        <v>14</v>
      </c>
      <c r="F8" s="90" t="str">
        <f>'Stavební rozpočet'!H8</f>
        <v>15.02.2025</v>
      </c>
      <c r="G8" s="87"/>
    </row>
    <row r="9" spans="1:7" thickBot="1" x14ac:dyDescent="0.35">
      <c r="A9" s="134"/>
      <c r="B9" s="135"/>
      <c r="C9" s="135"/>
      <c r="D9" s="135"/>
      <c r="E9" s="135"/>
      <c r="F9" s="135"/>
      <c r="G9" s="135"/>
    </row>
    <row r="10" spans="1:7" thickBot="1" x14ac:dyDescent="0.35">
      <c r="A10" s="50" t="s">
        <v>18</v>
      </c>
      <c r="B10" s="51" t="s">
        <v>19</v>
      </c>
      <c r="C10" s="51" t="s">
        <v>20</v>
      </c>
      <c r="D10" s="158" t="s">
        <v>21</v>
      </c>
      <c r="E10" s="159"/>
      <c r="F10" s="51" t="s">
        <v>22</v>
      </c>
      <c r="G10" s="52" t="s">
        <v>23</v>
      </c>
    </row>
    <row r="11" spans="1:7" ht="14.4" x14ac:dyDescent="0.3">
      <c r="A11" s="53" t="s">
        <v>11</v>
      </c>
      <c r="B11" s="24" t="s">
        <v>11</v>
      </c>
      <c r="C11" s="24" t="s">
        <v>50</v>
      </c>
      <c r="D11" s="155" t="s">
        <v>51</v>
      </c>
      <c r="E11" s="155"/>
      <c r="F11" s="24" t="s">
        <v>11</v>
      </c>
      <c r="G11" s="27" t="s">
        <v>11</v>
      </c>
    </row>
    <row r="12" spans="1:7" ht="14.4" x14ac:dyDescent="0.3">
      <c r="A12" s="2" t="s">
        <v>52</v>
      </c>
      <c r="B12" s="3" t="s">
        <v>11</v>
      </c>
      <c r="C12" s="3" t="s">
        <v>53</v>
      </c>
      <c r="D12" s="87" t="s">
        <v>54</v>
      </c>
      <c r="E12" s="87"/>
      <c r="F12" s="3" t="s">
        <v>55</v>
      </c>
      <c r="G12" s="28">
        <v>5.8860000000000001</v>
      </c>
    </row>
    <row r="13" spans="1:7" ht="14.4" x14ac:dyDescent="0.3">
      <c r="A13" s="2" t="s">
        <v>11</v>
      </c>
      <c r="B13" s="3" t="s">
        <v>11</v>
      </c>
      <c r="C13" s="3" t="s">
        <v>11</v>
      </c>
      <c r="D13" s="54" t="s">
        <v>60</v>
      </c>
      <c r="E13" s="160" t="s">
        <v>61</v>
      </c>
      <c r="F13" s="160"/>
      <c r="G13" s="55">
        <v>5.8860000000000001</v>
      </c>
    </row>
    <row r="14" spans="1:7" ht="14.4" x14ac:dyDescent="0.3">
      <c r="A14" s="2" t="s">
        <v>62</v>
      </c>
      <c r="B14" s="3" t="s">
        <v>11</v>
      </c>
      <c r="C14" s="3" t="s">
        <v>63</v>
      </c>
      <c r="D14" s="87" t="s">
        <v>64</v>
      </c>
      <c r="E14" s="87"/>
      <c r="F14" s="3" t="s">
        <v>55</v>
      </c>
      <c r="G14" s="28">
        <v>5.8860000000000001</v>
      </c>
    </row>
    <row r="15" spans="1:7" ht="14.4" x14ac:dyDescent="0.3">
      <c r="A15" s="2" t="s">
        <v>11</v>
      </c>
      <c r="B15" s="3" t="s">
        <v>11</v>
      </c>
      <c r="C15" s="3" t="s">
        <v>11</v>
      </c>
      <c r="D15" s="54" t="s">
        <v>60</v>
      </c>
      <c r="E15" s="160" t="s">
        <v>61</v>
      </c>
      <c r="F15" s="160"/>
      <c r="G15" s="55">
        <v>5.8860000000000001</v>
      </c>
    </row>
    <row r="16" spans="1:7" ht="14.4" x14ac:dyDescent="0.3">
      <c r="A16" s="2" t="s">
        <v>65</v>
      </c>
      <c r="B16" s="3" t="s">
        <v>11</v>
      </c>
      <c r="C16" s="3" t="s">
        <v>66</v>
      </c>
      <c r="D16" s="87" t="s">
        <v>67</v>
      </c>
      <c r="E16" s="87"/>
      <c r="F16" s="3" t="s">
        <v>55</v>
      </c>
      <c r="G16" s="28">
        <v>5.8860000000000001</v>
      </c>
    </row>
    <row r="17" spans="1:7" ht="14.4" x14ac:dyDescent="0.3">
      <c r="A17" s="2" t="s">
        <v>11</v>
      </c>
      <c r="B17" s="3" t="s">
        <v>11</v>
      </c>
      <c r="C17" s="3" t="s">
        <v>11</v>
      </c>
      <c r="D17" s="54" t="s">
        <v>60</v>
      </c>
      <c r="E17" s="160" t="s">
        <v>61</v>
      </c>
      <c r="F17" s="160"/>
      <c r="G17" s="55">
        <v>5.8860000000000001</v>
      </c>
    </row>
    <row r="18" spans="1:7" ht="14.4" x14ac:dyDescent="0.3">
      <c r="A18" s="2" t="s">
        <v>68</v>
      </c>
      <c r="B18" s="3" t="s">
        <v>11</v>
      </c>
      <c r="C18" s="3" t="s">
        <v>69</v>
      </c>
      <c r="D18" s="87" t="s">
        <v>70</v>
      </c>
      <c r="E18" s="87"/>
      <c r="F18" s="3" t="s">
        <v>55</v>
      </c>
      <c r="G18" s="28">
        <v>5.8860000000000001</v>
      </c>
    </row>
    <row r="19" spans="1:7" ht="14.4" x14ac:dyDescent="0.3">
      <c r="A19" s="2" t="s">
        <v>11</v>
      </c>
      <c r="B19" s="3" t="s">
        <v>11</v>
      </c>
      <c r="C19" s="3" t="s">
        <v>11</v>
      </c>
      <c r="D19" s="54" t="s">
        <v>60</v>
      </c>
      <c r="E19" s="160" t="s">
        <v>61</v>
      </c>
      <c r="F19" s="160"/>
      <c r="G19" s="55">
        <v>5.8860000000000001</v>
      </c>
    </row>
    <row r="20" spans="1:7" ht="14.4" x14ac:dyDescent="0.3">
      <c r="A20" s="2" t="s">
        <v>71</v>
      </c>
      <c r="B20" s="3" t="s">
        <v>11</v>
      </c>
      <c r="C20" s="3" t="s">
        <v>72</v>
      </c>
      <c r="D20" s="87" t="s">
        <v>73</v>
      </c>
      <c r="E20" s="87"/>
      <c r="F20" s="3" t="s">
        <v>55</v>
      </c>
      <c r="G20" s="28">
        <v>33.585999999999999</v>
      </c>
    </row>
    <row r="21" spans="1:7" ht="14.4" x14ac:dyDescent="0.3">
      <c r="A21" s="2" t="s">
        <v>11</v>
      </c>
      <c r="B21" s="3" t="s">
        <v>11</v>
      </c>
      <c r="C21" s="3" t="s">
        <v>11</v>
      </c>
      <c r="D21" s="54" t="s">
        <v>74</v>
      </c>
      <c r="E21" s="160" t="s">
        <v>75</v>
      </c>
      <c r="F21" s="160"/>
      <c r="G21" s="55">
        <v>12.282</v>
      </c>
    </row>
    <row r="22" spans="1:7" ht="14.4" x14ac:dyDescent="0.3">
      <c r="A22" s="2" t="s">
        <v>11</v>
      </c>
      <c r="B22" s="3" t="s">
        <v>11</v>
      </c>
      <c r="C22" s="3" t="s">
        <v>11</v>
      </c>
      <c r="D22" s="54" t="s">
        <v>76</v>
      </c>
      <c r="E22" s="160" t="s">
        <v>75</v>
      </c>
      <c r="F22" s="160"/>
      <c r="G22" s="55">
        <v>12.88</v>
      </c>
    </row>
    <row r="23" spans="1:7" ht="14.4" x14ac:dyDescent="0.3">
      <c r="A23" s="2" t="s">
        <v>11</v>
      </c>
      <c r="B23" s="3" t="s">
        <v>11</v>
      </c>
      <c r="C23" s="3" t="s">
        <v>11</v>
      </c>
      <c r="D23" s="54" t="s">
        <v>77</v>
      </c>
      <c r="E23" s="160" t="s">
        <v>78</v>
      </c>
      <c r="F23" s="160"/>
      <c r="G23" s="55">
        <v>3.5840000000000001</v>
      </c>
    </row>
    <row r="24" spans="1:7" ht="14.4" x14ac:dyDescent="0.3">
      <c r="A24" s="2" t="s">
        <v>11</v>
      </c>
      <c r="B24" s="3" t="s">
        <v>11</v>
      </c>
      <c r="C24" s="3" t="s">
        <v>11</v>
      </c>
      <c r="D24" s="54" t="s">
        <v>79</v>
      </c>
      <c r="E24" s="160" t="s">
        <v>80</v>
      </c>
      <c r="F24" s="160"/>
      <c r="G24" s="55">
        <v>4.84</v>
      </c>
    </row>
    <row r="25" spans="1:7" ht="14.4" x14ac:dyDescent="0.3">
      <c r="A25" s="2" t="s">
        <v>81</v>
      </c>
      <c r="B25" s="3" t="s">
        <v>11</v>
      </c>
      <c r="C25" s="3" t="s">
        <v>82</v>
      </c>
      <c r="D25" s="87" t="s">
        <v>83</v>
      </c>
      <c r="E25" s="87"/>
      <c r="F25" s="3" t="s">
        <v>55</v>
      </c>
      <c r="G25" s="28">
        <v>33.585999999999999</v>
      </c>
    </row>
    <row r="26" spans="1:7" ht="14.4" x14ac:dyDescent="0.3">
      <c r="A26" s="2" t="s">
        <v>11</v>
      </c>
      <c r="B26" s="3" t="s">
        <v>11</v>
      </c>
      <c r="C26" s="3" t="s">
        <v>11</v>
      </c>
      <c r="D26" s="54" t="s">
        <v>74</v>
      </c>
      <c r="E26" s="160" t="s">
        <v>75</v>
      </c>
      <c r="F26" s="160"/>
      <c r="G26" s="55">
        <v>12.282</v>
      </c>
    </row>
    <row r="27" spans="1:7" ht="14.4" x14ac:dyDescent="0.3">
      <c r="A27" s="2" t="s">
        <v>11</v>
      </c>
      <c r="B27" s="3" t="s">
        <v>11</v>
      </c>
      <c r="C27" s="3" t="s">
        <v>11</v>
      </c>
      <c r="D27" s="54" t="s">
        <v>76</v>
      </c>
      <c r="E27" s="160" t="s">
        <v>75</v>
      </c>
      <c r="F27" s="160"/>
      <c r="G27" s="55">
        <v>12.88</v>
      </c>
    </row>
    <row r="28" spans="1:7" ht="14.4" x14ac:dyDescent="0.3">
      <c r="A28" s="2" t="s">
        <v>11</v>
      </c>
      <c r="B28" s="3" t="s">
        <v>11</v>
      </c>
      <c r="C28" s="3" t="s">
        <v>11</v>
      </c>
      <c r="D28" s="54" t="s">
        <v>77</v>
      </c>
      <c r="E28" s="160" t="s">
        <v>78</v>
      </c>
      <c r="F28" s="160"/>
      <c r="G28" s="55">
        <v>3.5840000000000001</v>
      </c>
    </row>
    <row r="29" spans="1:7" ht="14.4" x14ac:dyDescent="0.3">
      <c r="A29" s="2" t="s">
        <v>11</v>
      </c>
      <c r="B29" s="3" t="s">
        <v>11</v>
      </c>
      <c r="C29" s="3" t="s">
        <v>11</v>
      </c>
      <c r="D29" s="54" t="s">
        <v>79</v>
      </c>
      <c r="E29" s="160" t="s">
        <v>80</v>
      </c>
      <c r="F29" s="160"/>
      <c r="G29" s="55">
        <v>4.84</v>
      </c>
    </row>
    <row r="30" spans="1:7" ht="14.4" x14ac:dyDescent="0.3">
      <c r="A30" s="2" t="s">
        <v>84</v>
      </c>
      <c r="B30" s="3" t="s">
        <v>11</v>
      </c>
      <c r="C30" s="3" t="s">
        <v>85</v>
      </c>
      <c r="D30" s="87" t="s">
        <v>86</v>
      </c>
      <c r="E30" s="87"/>
      <c r="F30" s="3" t="s">
        <v>55</v>
      </c>
      <c r="G30" s="28">
        <v>39.472000000000001</v>
      </c>
    </row>
    <row r="31" spans="1:7" ht="14.4" x14ac:dyDescent="0.3">
      <c r="A31" s="2" t="s">
        <v>11</v>
      </c>
      <c r="B31" s="3" t="s">
        <v>11</v>
      </c>
      <c r="C31" s="3" t="s">
        <v>11</v>
      </c>
      <c r="D31" s="54" t="s">
        <v>60</v>
      </c>
      <c r="E31" s="160" t="s">
        <v>61</v>
      </c>
      <c r="F31" s="160"/>
      <c r="G31" s="55">
        <v>5.8860000000000001</v>
      </c>
    </row>
    <row r="32" spans="1:7" ht="14.4" x14ac:dyDescent="0.3">
      <c r="A32" s="2" t="s">
        <v>11</v>
      </c>
      <c r="B32" s="3" t="s">
        <v>11</v>
      </c>
      <c r="C32" s="3" t="s">
        <v>11</v>
      </c>
      <c r="D32" s="54" t="s">
        <v>74</v>
      </c>
      <c r="E32" s="160" t="s">
        <v>75</v>
      </c>
      <c r="F32" s="160"/>
      <c r="G32" s="55">
        <v>12.282</v>
      </c>
    </row>
    <row r="33" spans="1:7" ht="14.4" x14ac:dyDescent="0.3">
      <c r="A33" s="2" t="s">
        <v>11</v>
      </c>
      <c r="B33" s="3" t="s">
        <v>11</v>
      </c>
      <c r="C33" s="3" t="s">
        <v>11</v>
      </c>
      <c r="D33" s="54" t="s">
        <v>76</v>
      </c>
      <c r="E33" s="160" t="s">
        <v>75</v>
      </c>
      <c r="F33" s="160"/>
      <c r="G33" s="55">
        <v>12.88</v>
      </c>
    </row>
    <row r="34" spans="1:7" ht="14.4" x14ac:dyDescent="0.3">
      <c r="A34" s="2" t="s">
        <v>11</v>
      </c>
      <c r="B34" s="3" t="s">
        <v>11</v>
      </c>
      <c r="C34" s="3" t="s">
        <v>11</v>
      </c>
      <c r="D34" s="54" t="s">
        <v>77</v>
      </c>
      <c r="E34" s="160" t="s">
        <v>78</v>
      </c>
      <c r="F34" s="160"/>
      <c r="G34" s="55">
        <v>3.5840000000000001</v>
      </c>
    </row>
    <row r="35" spans="1:7" ht="14.4" x14ac:dyDescent="0.3">
      <c r="A35" s="2" t="s">
        <v>11</v>
      </c>
      <c r="B35" s="3" t="s">
        <v>11</v>
      </c>
      <c r="C35" s="3" t="s">
        <v>11</v>
      </c>
      <c r="D35" s="54" t="s">
        <v>79</v>
      </c>
      <c r="E35" s="160" t="s">
        <v>80</v>
      </c>
      <c r="F35" s="160"/>
      <c r="G35" s="55">
        <v>4.84</v>
      </c>
    </row>
    <row r="36" spans="1:7" ht="14.4" x14ac:dyDescent="0.3">
      <c r="A36" s="2" t="s">
        <v>87</v>
      </c>
      <c r="B36" s="3" t="s">
        <v>11</v>
      </c>
      <c r="C36" s="3" t="s">
        <v>88</v>
      </c>
      <c r="D36" s="87" t="s">
        <v>89</v>
      </c>
      <c r="E36" s="87"/>
      <c r="F36" s="3" t="s">
        <v>55</v>
      </c>
      <c r="G36" s="28">
        <v>39.472000000000001</v>
      </c>
    </row>
    <row r="37" spans="1:7" ht="14.4" x14ac:dyDescent="0.3">
      <c r="A37" s="2" t="s">
        <v>11</v>
      </c>
      <c r="B37" s="3" t="s">
        <v>11</v>
      </c>
      <c r="C37" s="3" t="s">
        <v>11</v>
      </c>
      <c r="D37" s="54" t="s">
        <v>60</v>
      </c>
      <c r="E37" s="160" t="s">
        <v>61</v>
      </c>
      <c r="F37" s="160"/>
      <c r="G37" s="55">
        <v>5.8860000000000001</v>
      </c>
    </row>
    <row r="38" spans="1:7" ht="14.4" x14ac:dyDescent="0.3">
      <c r="A38" s="2" t="s">
        <v>11</v>
      </c>
      <c r="B38" s="3" t="s">
        <v>11</v>
      </c>
      <c r="C38" s="3" t="s">
        <v>11</v>
      </c>
      <c r="D38" s="54" t="s">
        <v>74</v>
      </c>
      <c r="E38" s="160" t="s">
        <v>75</v>
      </c>
      <c r="F38" s="160"/>
      <c r="G38" s="55">
        <v>12.282</v>
      </c>
    </row>
    <row r="39" spans="1:7" ht="14.4" x14ac:dyDescent="0.3">
      <c r="A39" s="2" t="s">
        <v>11</v>
      </c>
      <c r="B39" s="3" t="s">
        <v>11</v>
      </c>
      <c r="C39" s="3" t="s">
        <v>11</v>
      </c>
      <c r="D39" s="54" t="s">
        <v>76</v>
      </c>
      <c r="E39" s="160" t="s">
        <v>75</v>
      </c>
      <c r="F39" s="160"/>
      <c r="G39" s="55">
        <v>12.88</v>
      </c>
    </row>
    <row r="40" spans="1:7" ht="14.4" x14ac:dyDescent="0.3">
      <c r="A40" s="2" t="s">
        <v>11</v>
      </c>
      <c r="B40" s="3" t="s">
        <v>11</v>
      </c>
      <c r="C40" s="3" t="s">
        <v>11</v>
      </c>
      <c r="D40" s="54" t="s">
        <v>77</v>
      </c>
      <c r="E40" s="160" t="s">
        <v>78</v>
      </c>
      <c r="F40" s="160"/>
      <c r="G40" s="55">
        <v>3.5840000000000001</v>
      </c>
    </row>
    <row r="41" spans="1:7" ht="14.4" x14ac:dyDescent="0.3">
      <c r="A41" s="2" t="s">
        <v>11</v>
      </c>
      <c r="B41" s="3" t="s">
        <v>11</v>
      </c>
      <c r="C41" s="3" t="s">
        <v>11</v>
      </c>
      <c r="D41" s="54" t="s">
        <v>79</v>
      </c>
      <c r="E41" s="160" t="s">
        <v>80</v>
      </c>
      <c r="F41" s="160"/>
      <c r="G41" s="55">
        <v>4.84</v>
      </c>
    </row>
    <row r="42" spans="1:7" ht="14.4" x14ac:dyDescent="0.3">
      <c r="A42" s="2" t="s">
        <v>90</v>
      </c>
      <c r="B42" s="3" t="s">
        <v>11</v>
      </c>
      <c r="C42" s="3" t="s">
        <v>91</v>
      </c>
      <c r="D42" s="87" t="s">
        <v>92</v>
      </c>
      <c r="E42" s="87"/>
      <c r="F42" s="3" t="s">
        <v>55</v>
      </c>
      <c r="G42" s="28">
        <v>1.92</v>
      </c>
    </row>
    <row r="43" spans="1:7" ht="14.4" x14ac:dyDescent="0.3">
      <c r="A43" s="2" t="s">
        <v>11</v>
      </c>
      <c r="B43" s="3" t="s">
        <v>11</v>
      </c>
      <c r="C43" s="3" t="s">
        <v>11</v>
      </c>
      <c r="D43" s="54" t="s">
        <v>93</v>
      </c>
      <c r="E43" s="160" t="s">
        <v>94</v>
      </c>
      <c r="F43" s="160"/>
      <c r="G43" s="55">
        <v>1.92</v>
      </c>
    </row>
    <row r="44" spans="1:7" ht="14.4" x14ac:dyDescent="0.3">
      <c r="A44" s="2" t="s">
        <v>95</v>
      </c>
      <c r="B44" s="3" t="s">
        <v>11</v>
      </c>
      <c r="C44" s="3" t="s">
        <v>96</v>
      </c>
      <c r="D44" s="87" t="s">
        <v>97</v>
      </c>
      <c r="E44" s="87"/>
      <c r="F44" s="3" t="s">
        <v>98</v>
      </c>
      <c r="G44" s="28">
        <v>2.3068399999999998</v>
      </c>
    </row>
    <row r="45" spans="1:7" ht="14.4" x14ac:dyDescent="0.3">
      <c r="A45" s="56" t="s">
        <v>11</v>
      </c>
      <c r="B45" s="34" t="s">
        <v>11</v>
      </c>
      <c r="C45" s="34" t="s">
        <v>99</v>
      </c>
      <c r="D45" s="157" t="s">
        <v>100</v>
      </c>
      <c r="E45" s="157"/>
      <c r="F45" s="34" t="s">
        <v>11</v>
      </c>
      <c r="G45" s="11" t="s">
        <v>11</v>
      </c>
    </row>
    <row r="46" spans="1:7" ht="14.4" x14ac:dyDescent="0.3">
      <c r="A46" s="2" t="s">
        <v>101</v>
      </c>
      <c r="B46" s="3" t="s">
        <v>11</v>
      </c>
      <c r="C46" s="3" t="s">
        <v>102</v>
      </c>
      <c r="D46" s="87" t="s">
        <v>103</v>
      </c>
      <c r="E46" s="87"/>
      <c r="F46" s="3" t="s">
        <v>55</v>
      </c>
      <c r="G46" s="28">
        <v>11.747999999999999</v>
      </c>
    </row>
    <row r="47" spans="1:7" ht="14.4" x14ac:dyDescent="0.3">
      <c r="A47" s="2" t="s">
        <v>11</v>
      </c>
      <c r="B47" s="3" t="s">
        <v>11</v>
      </c>
      <c r="C47" s="3" t="s">
        <v>11</v>
      </c>
      <c r="D47" s="54" t="s">
        <v>106</v>
      </c>
      <c r="E47" s="160" t="s">
        <v>107</v>
      </c>
      <c r="F47" s="160"/>
      <c r="G47" s="55">
        <v>11.747999999999999</v>
      </c>
    </row>
    <row r="48" spans="1:7" ht="14.4" x14ac:dyDescent="0.3">
      <c r="A48" s="2" t="s">
        <v>108</v>
      </c>
      <c r="B48" s="3" t="s">
        <v>11</v>
      </c>
      <c r="C48" s="3" t="s">
        <v>109</v>
      </c>
      <c r="D48" s="87" t="s">
        <v>110</v>
      </c>
      <c r="E48" s="87"/>
      <c r="F48" s="3" t="s">
        <v>55</v>
      </c>
      <c r="G48" s="28">
        <v>11.747999999999999</v>
      </c>
    </row>
    <row r="49" spans="1:7" ht="14.4" x14ac:dyDescent="0.3">
      <c r="A49" s="2" t="s">
        <v>11</v>
      </c>
      <c r="B49" s="3" t="s">
        <v>11</v>
      </c>
      <c r="C49" s="3" t="s">
        <v>11</v>
      </c>
      <c r="D49" s="54" t="s">
        <v>106</v>
      </c>
      <c r="E49" s="160" t="s">
        <v>107</v>
      </c>
      <c r="F49" s="160"/>
      <c r="G49" s="55">
        <v>11.747999999999999</v>
      </c>
    </row>
    <row r="50" spans="1:7" ht="14.4" x14ac:dyDescent="0.3">
      <c r="A50" s="2" t="s">
        <v>111</v>
      </c>
      <c r="B50" s="3" t="s">
        <v>11</v>
      </c>
      <c r="C50" s="3" t="s">
        <v>112</v>
      </c>
      <c r="D50" s="87" t="s">
        <v>113</v>
      </c>
      <c r="E50" s="87"/>
      <c r="F50" s="3" t="s">
        <v>55</v>
      </c>
      <c r="G50" s="28">
        <v>11.747999999999999</v>
      </c>
    </row>
    <row r="51" spans="1:7" ht="14.4" x14ac:dyDescent="0.3">
      <c r="A51" s="2" t="s">
        <v>11</v>
      </c>
      <c r="B51" s="3" t="s">
        <v>11</v>
      </c>
      <c r="C51" s="3" t="s">
        <v>11</v>
      </c>
      <c r="D51" s="54" t="s">
        <v>106</v>
      </c>
      <c r="E51" s="160" t="s">
        <v>107</v>
      </c>
      <c r="F51" s="160"/>
      <c r="G51" s="55">
        <v>11.747999999999999</v>
      </c>
    </row>
    <row r="52" spans="1:7" ht="14.4" x14ac:dyDescent="0.3">
      <c r="A52" s="2" t="s">
        <v>114</v>
      </c>
      <c r="B52" s="3" t="s">
        <v>11</v>
      </c>
      <c r="C52" s="3" t="s">
        <v>115</v>
      </c>
      <c r="D52" s="87" t="s">
        <v>116</v>
      </c>
      <c r="E52" s="87"/>
      <c r="F52" s="3" t="s">
        <v>55</v>
      </c>
      <c r="G52" s="28">
        <v>11.747999999999999</v>
      </c>
    </row>
    <row r="53" spans="1:7" ht="14.4" x14ac:dyDescent="0.3">
      <c r="A53" s="2" t="s">
        <v>11</v>
      </c>
      <c r="B53" s="3" t="s">
        <v>11</v>
      </c>
      <c r="C53" s="3" t="s">
        <v>11</v>
      </c>
      <c r="D53" s="54" t="s">
        <v>106</v>
      </c>
      <c r="E53" s="160" t="s">
        <v>11</v>
      </c>
      <c r="F53" s="160"/>
      <c r="G53" s="55">
        <v>11.747999999999999</v>
      </c>
    </row>
    <row r="54" spans="1:7" ht="14.4" x14ac:dyDescent="0.3">
      <c r="A54" s="2" t="s">
        <v>117</v>
      </c>
      <c r="B54" s="3" t="s">
        <v>11</v>
      </c>
      <c r="C54" s="3" t="s">
        <v>118</v>
      </c>
      <c r="D54" s="87" t="s">
        <v>119</v>
      </c>
      <c r="E54" s="87"/>
      <c r="F54" s="3" t="s">
        <v>98</v>
      </c>
      <c r="G54" s="28">
        <v>0.93949000000000005</v>
      </c>
    </row>
    <row r="55" spans="1:7" ht="14.4" x14ac:dyDescent="0.3">
      <c r="A55" s="56" t="s">
        <v>11</v>
      </c>
      <c r="B55" s="34" t="s">
        <v>11</v>
      </c>
      <c r="C55" s="34" t="s">
        <v>120</v>
      </c>
      <c r="D55" s="157" t="s">
        <v>121</v>
      </c>
      <c r="E55" s="157"/>
      <c r="F55" s="34" t="s">
        <v>11</v>
      </c>
      <c r="G55" s="11" t="s">
        <v>11</v>
      </c>
    </row>
    <row r="56" spans="1:7" ht="14.4" x14ac:dyDescent="0.3">
      <c r="A56" s="2" t="s">
        <v>122</v>
      </c>
      <c r="B56" s="3" t="s">
        <v>11</v>
      </c>
      <c r="C56" s="3" t="s">
        <v>123</v>
      </c>
      <c r="D56" s="87" t="s">
        <v>124</v>
      </c>
      <c r="E56" s="87"/>
      <c r="F56" s="3" t="s">
        <v>55</v>
      </c>
      <c r="G56" s="28">
        <v>10.4</v>
      </c>
    </row>
    <row r="57" spans="1:7" ht="14.4" x14ac:dyDescent="0.3">
      <c r="A57" s="2" t="s">
        <v>11</v>
      </c>
      <c r="B57" s="3" t="s">
        <v>11</v>
      </c>
      <c r="C57" s="3" t="s">
        <v>11</v>
      </c>
      <c r="D57" s="54" t="s">
        <v>126</v>
      </c>
      <c r="E57" s="160" t="s">
        <v>127</v>
      </c>
      <c r="F57" s="160"/>
      <c r="G57" s="55">
        <v>6</v>
      </c>
    </row>
    <row r="58" spans="1:7" ht="14.4" x14ac:dyDescent="0.3">
      <c r="A58" s="2" t="s">
        <v>11</v>
      </c>
      <c r="B58" s="3" t="s">
        <v>11</v>
      </c>
      <c r="C58" s="3" t="s">
        <v>11</v>
      </c>
      <c r="D58" s="54" t="s">
        <v>128</v>
      </c>
      <c r="E58" s="160" t="s">
        <v>129</v>
      </c>
      <c r="F58" s="160"/>
      <c r="G58" s="55">
        <v>4.4000000000000004</v>
      </c>
    </row>
    <row r="59" spans="1:7" ht="14.4" x14ac:dyDescent="0.3">
      <c r="A59" s="2" t="s">
        <v>130</v>
      </c>
      <c r="B59" s="3" t="s">
        <v>11</v>
      </c>
      <c r="C59" s="3" t="s">
        <v>131</v>
      </c>
      <c r="D59" s="87" t="s">
        <v>132</v>
      </c>
      <c r="E59" s="87"/>
      <c r="F59" s="3" t="s">
        <v>55</v>
      </c>
      <c r="G59" s="28">
        <v>10.4</v>
      </c>
    </row>
    <row r="60" spans="1:7" ht="14.4" x14ac:dyDescent="0.3">
      <c r="A60" s="2" t="s">
        <v>11</v>
      </c>
      <c r="B60" s="3" t="s">
        <v>11</v>
      </c>
      <c r="C60" s="3" t="s">
        <v>11</v>
      </c>
      <c r="D60" s="54" t="s">
        <v>126</v>
      </c>
      <c r="E60" s="160" t="s">
        <v>127</v>
      </c>
      <c r="F60" s="160"/>
      <c r="G60" s="55">
        <v>6</v>
      </c>
    </row>
    <row r="61" spans="1:7" ht="14.4" x14ac:dyDescent="0.3">
      <c r="A61" s="2" t="s">
        <v>11</v>
      </c>
      <c r="B61" s="3" t="s">
        <v>11</v>
      </c>
      <c r="C61" s="3" t="s">
        <v>11</v>
      </c>
      <c r="D61" s="54" t="s">
        <v>128</v>
      </c>
      <c r="E61" s="160" t="s">
        <v>129</v>
      </c>
      <c r="F61" s="160"/>
      <c r="G61" s="55">
        <v>4.4000000000000004</v>
      </c>
    </row>
    <row r="62" spans="1:7" ht="14.4" x14ac:dyDescent="0.3">
      <c r="A62" s="2" t="s">
        <v>133</v>
      </c>
      <c r="B62" s="3" t="s">
        <v>11</v>
      </c>
      <c r="C62" s="3" t="s">
        <v>134</v>
      </c>
      <c r="D62" s="87" t="s">
        <v>135</v>
      </c>
      <c r="E62" s="87"/>
      <c r="F62" s="3" t="s">
        <v>136</v>
      </c>
      <c r="G62" s="28">
        <v>1</v>
      </c>
    </row>
    <row r="63" spans="1:7" ht="14.4" x14ac:dyDescent="0.3">
      <c r="A63" s="2" t="s">
        <v>137</v>
      </c>
      <c r="B63" s="3" t="s">
        <v>11</v>
      </c>
      <c r="C63" s="3" t="s">
        <v>138</v>
      </c>
      <c r="D63" s="87" t="s">
        <v>139</v>
      </c>
      <c r="E63" s="87"/>
      <c r="F63" s="3" t="s">
        <v>140</v>
      </c>
      <c r="G63" s="28">
        <v>1</v>
      </c>
    </row>
    <row r="64" spans="1:7" ht="14.4" x14ac:dyDescent="0.3">
      <c r="A64" s="2" t="s">
        <v>141</v>
      </c>
      <c r="B64" s="3" t="s">
        <v>11</v>
      </c>
      <c r="C64" s="3" t="s">
        <v>142</v>
      </c>
      <c r="D64" s="87" t="s">
        <v>143</v>
      </c>
      <c r="E64" s="87"/>
      <c r="F64" s="3" t="s">
        <v>140</v>
      </c>
      <c r="G64" s="28">
        <v>1</v>
      </c>
    </row>
    <row r="65" spans="1:7" ht="14.4" x14ac:dyDescent="0.3">
      <c r="A65" s="56" t="s">
        <v>11</v>
      </c>
      <c r="B65" s="34" t="s">
        <v>11</v>
      </c>
      <c r="C65" s="34" t="s">
        <v>144</v>
      </c>
      <c r="D65" s="157" t="s">
        <v>145</v>
      </c>
      <c r="E65" s="157"/>
      <c r="F65" s="34" t="s">
        <v>11</v>
      </c>
      <c r="G65" s="11" t="s">
        <v>11</v>
      </c>
    </row>
    <row r="66" spans="1:7" ht="14.4" x14ac:dyDescent="0.3">
      <c r="A66" s="2" t="s">
        <v>56</v>
      </c>
      <c r="B66" s="3" t="s">
        <v>11</v>
      </c>
      <c r="C66" s="3" t="s">
        <v>146</v>
      </c>
      <c r="D66" s="87" t="s">
        <v>147</v>
      </c>
      <c r="E66" s="87"/>
      <c r="F66" s="3" t="s">
        <v>55</v>
      </c>
      <c r="G66" s="28">
        <v>11.747999999999999</v>
      </c>
    </row>
    <row r="67" spans="1:7" ht="14.4" x14ac:dyDescent="0.3">
      <c r="A67" s="2" t="s">
        <v>11</v>
      </c>
      <c r="B67" s="3" t="s">
        <v>11</v>
      </c>
      <c r="C67" s="3" t="s">
        <v>11</v>
      </c>
      <c r="D67" s="54" t="s">
        <v>106</v>
      </c>
      <c r="E67" s="160" t="s">
        <v>11</v>
      </c>
      <c r="F67" s="160"/>
      <c r="G67" s="55">
        <v>11.747999999999999</v>
      </c>
    </row>
    <row r="68" spans="1:7" ht="14.4" x14ac:dyDescent="0.3">
      <c r="A68" s="2" t="s">
        <v>149</v>
      </c>
      <c r="B68" s="3" t="s">
        <v>11</v>
      </c>
      <c r="C68" s="3" t="s">
        <v>150</v>
      </c>
      <c r="D68" s="87" t="s">
        <v>151</v>
      </c>
      <c r="E68" s="87"/>
      <c r="F68" s="3" t="s">
        <v>55</v>
      </c>
      <c r="G68" s="28">
        <v>11.747999999999999</v>
      </c>
    </row>
    <row r="69" spans="1:7" ht="14.4" x14ac:dyDescent="0.3">
      <c r="A69" s="2" t="s">
        <v>11</v>
      </c>
      <c r="B69" s="3" t="s">
        <v>11</v>
      </c>
      <c r="C69" s="3" t="s">
        <v>11</v>
      </c>
      <c r="D69" s="54" t="s">
        <v>106</v>
      </c>
      <c r="E69" s="160" t="s">
        <v>107</v>
      </c>
      <c r="F69" s="160"/>
      <c r="G69" s="55">
        <v>11.747999999999999</v>
      </c>
    </row>
    <row r="70" spans="1:7" ht="14.4" x14ac:dyDescent="0.3">
      <c r="A70" s="2" t="s">
        <v>152</v>
      </c>
      <c r="B70" s="3" t="s">
        <v>11</v>
      </c>
      <c r="C70" s="3" t="s">
        <v>153</v>
      </c>
      <c r="D70" s="87" t="s">
        <v>154</v>
      </c>
      <c r="E70" s="87"/>
      <c r="F70" s="3" t="s">
        <v>98</v>
      </c>
      <c r="G70" s="28">
        <v>0</v>
      </c>
    </row>
    <row r="71" spans="1:7" ht="14.4" x14ac:dyDescent="0.3">
      <c r="A71" s="56" t="s">
        <v>11</v>
      </c>
      <c r="B71" s="34" t="s">
        <v>11</v>
      </c>
      <c r="C71" s="34" t="s">
        <v>155</v>
      </c>
      <c r="D71" s="157" t="s">
        <v>156</v>
      </c>
      <c r="E71" s="157"/>
      <c r="F71" s="34" t="s">
        <v>11</v>
      </c>
      <c r="G71" s="11" t="s">
        <v>11</v>
      </c>
    </row>
    <row r="72" spans="1:7" ht="14.4" x14ac:dyDescent="0.3">
      <c r="A72" s="2" t="s">
        <v>157</v>
      </c>
      <c r="B72" s="3" t="s">
        <v>11</v>
      </c>
      <c r="C72" s="3" t="s">
        <v>158</v>
      </c>
      <c r="D72" s="87" t="s">
        <v>159</v>
      </c>
      <c r="E72" s="87"/>
      <c r="F72" s="3" t="s">
        <v>136</v>
      </c>
      <c r="G72" s="28">
        <v>1</v>
      </c>
    </row>
    <row r="73" spans="1:7" ht="14.4" x14ac:dyDescent="0.3">
      <c r="A73" s="2" t="s">
        <v>161</v>
      </c>
      <c r="B73" s="3" t="s">
        <v>11</v>
      </c>
      <c r="C73" s="3" t="s">
        <v>162</v>
      </c>
      <c r="D73" s="87" t="s">
        <v>163</v>
      </c>
      <c r="E73" s="87"/>
      <c r="F73" s="3" t="s">
        <v>136</v>
      </c>
      <c r="G73" s="28">
        <v>2</v>
      </c>
    </row>
    <row r="74" spans="1:7" ht="14.4" x14ac:dyDescent="0.3">
      <c r="A74" s="56" t="s">
        <v>11</v>
      </c>
      <c r="B74" s="34" t="s">
        <v>11</v>
      </c>
      <c r="C74" s="34" t="s">
        <v>164</v>
      </c>
      <c r="D74" s="157" t="s">
        <v>165</v>
      </c>
      <c r="E74" s="157"/>
      <c r="F74" s="34" t="s">
        <v>11</v>
      </c>
      <c r="G74" s="11" t="s">
        <v>11</v>
      </c>
    </row>
    <row r="75" spans="1:7" ht="14.4" x14ac:dyDescent="0.3">
      <c r="A75" s="2" t="s">
        <v>166</v>
      </c>
      <c r="B75" s="3" t="s">
        <v>11</v>
      </c>
      <c r="C75" s="3" t="s">
        <v>167</v>
      </c>
      <c r="D75" s="87" t="s">
        <v>168</v>
      </c>
      <c r="E75" s="87"/>
      <c r="F75" s="3" t="s">
        <v>55</v>
      </c>
      <c r="G75" s="28">
        <v>67.680000000000007</v>
      </c>
    </row>
    <row r="76" spans="1:7" ht="14.4" x14ac:dyDescent="0.3">
      <c r="A76" s="2" t="s">
        <v>11</v>
      </c>
      <c r="B76" s="3" t="s">
        <v>11</v>
      </c>
      <c r="C76" s="3" t="s">
        <v>11</v>
      </c>
      <c r="D76" s="54" t="s">
        <v>171</v>
      </c>
      <c r="E76" s="160" t="s">
        <v>11</v>
      </c>
      <c r="F76" s="160"/>
      <c r="G76" s="55">
        <v>33.119999999999997</v>
      </c>
    </row>
    <row r="77" spans="1:7" ht="14.4" x14ac:dyDescent="0.3">
      <c r="A77" s="47" t="s">
        <v>11</v>
      </c>
      <c r="B77" s="48" t="s">
        <v>11</v>
      </c>
      <c r="C77" s="48" t="s">
        <v>11</v>
      </c>
      <c r="D77" s="57" t="s">
        <v>172</v>
      </c>
      <c r="E77" s="161" t="s">
        <v>11</v>
      </c>
      <c r="F77" s="161"/>
      <c r="G77" s="58">
        <v>34.56</v>
      </c>
    </row>
    <row r="79" spans="1:7" ht="14.4" x14ac:dyDescent="0.3">
      <c r="A79" s="41" t="s">
        <v>174</v>
      </c>
    </row>
    <row r="80" spans="1:7" ht="12.75" customHeight="1" x14ac:dyDescent="0.3">
      <c r="A80" s="90" t="s">
        <v>11</v>
      </c>
      <c r="B80" s="87"/>
      <c r="C80" s="87"/>
      <c r="D80" s="87"/>
      <c r="E80" s="87"/>
      <c r="F80" s="87"/>
      <c r="G80" s="87"/>
    </row>
  </sheetData>
  <mergeCells count="86">
    <mergeCell ref="D74:E74"/>
    <mergeCell ref="D75:E75"/>
    <mergeCell ref="E76:F76"/>
    <mergeCell ref="E77:F77"/>
    <mergeCell ref="A80:G80"/>
    <mergeCell ref="E69:F69"/>
    <mergeCell ref="D70:E70"/>
    <mergeCell ref="D71:E71"/>
    <mergeCell ref="D72:E72"/>
    <mergeCell ref="D73:E73"/>
    <mergeCell ref="D64:E64"/>
    <mergeCell ref="D65:E65"/>
    <mergeCell ref="D66:E66"/>
    <mergeCell ref="E67:F67"/>
    <mergeCell ref="D68:E68"/>
    <mergeCell ref="D59:E59"/>
    <mergeCell ref="E60:F60"/>
    <mergeCell ref="E61:F61"/>
    <mergeCell ref="D62:E62"/>
    <mergeCell ref="D63:E63"/>
    <mergeCell ref="D54:E54"/>
    <mergeCell ref="D55:E55"/>
    <mergeCell ref="D56:E56"/>
    <mergeCell ref="E57:F57"/>
    <mergeCell ref="E58:F58"/>
    <mergeCell ref="E49:F49"/>
    <mergeCell ref="D50:E50"/>
    <mergeCell ref="E51:F51"/>
    <mergeCell ref="D52:E52"/>
    <mergeCell ref="E53:F53"/>
    <mergeCell ref="D44:E44"/>
    <mergeCell ref="D45:E45"/>
    <mergeCell ref="D46:E46"/>
    <mergeCell ref="E47:F47"/>
    <mergeCell ref="D48:E48"/>
    <mergeCell ref="E39:F39"/>
    <mergeCell ref="E40:F40"/>
    <mergeCell ref="E41:F41"/>
    <mergeCell ref="D42:E42"/>
    <mergeCell ref="E43:F43"/>
    <mergeCell ref="E34:F34"/>
    <mergeCell ref="E35:F35"/>
    <mergeCell ref="D36:E36"/>
    <mergeCell ref="E37:F37"/>
    <mergeCell ref="E38:F38"/>
    <mergeCell ref="E29:F29"/>
    <mergeCell ref="D30:E30"/>
    <mergeCell ref="E31:F31"/>
    <mergeCell ref="E32:F32"/>
    <mergeCell ref="E33:F33"/>
    <mergeCell ref="E24:F24"/>
    <mergeCell ref="D25:E25"/>
    <mergeCell ref="E26:F26"/>
    <mergeCell ref="E27:F27"/>
    <mergeCell ref="E28:F28"/>
    <mergeCell ref="E19:F19"/>
    <mergeCell ref="D20:E20"/>
    <mergeCell ref="E21:F21"/>
    <mergeCell ref="E22:F22"/>
    <mergeCell ref="E23:F23"/>
    <mergeCell ref="D14:E14"/>
    <mergeCell ref="E15:F15"/>
    <mergeCell ref="D16:E16"/>
    <mergeCell ref="E17:F17"/>
    <mergeCell ref="D18:E18"/>
    <mergeCell ref="F8:G9"/>
    <mergeCell ref="D10:E10"/>
    <mergeCell ref="D11:E11"/>
    <mergeCell ref="D12:E12"/>
    <mergeCell ref="E13:F13"/>
    <mergeCell ref="A1:G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G3"/>
    <mergeCell ref="F4:G5"/>
    <mergeCell ref="F6:G7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workbookViewId="0">
      <selection activeCell="A36" sqref="A36:E36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82" t="s">
        <v>222</v>
      </c>
      <c r="B1" s="83"/>
      <c r="C1" s="83"/>
      <c r="D1" s="83"/>
      <c r="E1" s="83"/>
      <c r="F1" s="83"/>
      <c r="G1" s="83"/>
      <c r="H1" s="83"/>
      <c r="I1" s="83"/>
    </row>
    <row r="2" spans="1:9" ht="14.4" x14ac:dyDescent="0.3">
      <c r="A2" s="84" t="s">
        <v>1</v>
      </c>
      <c r="B2" s="85"/>
      <c r="C2" s="94" t="str">
        <f>'Stavební rozpočet'!D2</f>
        <v>Oprava kaple Urbanice</v>
      </c>
      <c r="D2" s="95"/>
      <c r="E2" s="89" t="s">
        <v>5</v>
      </c>
      <c r="F2" s="89" t="str">
        <f>'Stavební rozpočet'!K2</f>
        <v> </v>
      </c>
      <c r="G2" s="85"/>
      <c r="H2" s="89" t="s">
        <v>179</v>
      </c>
      <c r="I2" s="91" t="s">
        <v>11</v>
      </c>
    </row>
    <row r="3" spans="1:9" ht="15" customHeight="1" x14ac:dyDescent="0.3">
      <c r="A3" s="86"/>
      <c r="B3" s="87"/>
      <c r="C3" s="96"/>
      <c r="D3" s="96"/>
      <c r="E3" s="87"/>
      <c r="F3" s="87"/>
      <c r="G3" s="87"/>
      <c r="H3" s="87"/>
      <c r="I3" s="92"/>
    </row>
    <row r="4" spans="1:9" ht="14.4" x14ac:dyDescent="0.3">
      <c r="A4" s="88" t="s">
        <v>7</v>
      </c>
      <c r="B4" s="87"/>
      <c r="C4" s="90" t="str">
        <f>'Stavební rozpočet'!D4</f>
        <v xml:space="preserve"> </v>
      </c>
      <c r="D4" s="87"/>
      <c r="E4" s="90" t="s">
        <v>9</v>
      </c>
      <c r="F4" s="90" t="str">
        <f>'Stavební rozpočet'!K4</f>
        <v> </v>
      </c>
      <c r="G4" s="87"/>
      <c r="H4" s="90" t="s">
        <v>179</v>
      </c>
      <c r="I4" s="92" t="s">
        <v>11</v>
      </c>
    </row>
    <row r="5" spans="1:9" ht="15" customHeight="1" x14ac:dyDescent="0.3">
      <c r="A5" s="86"/>
      <c r="B5" s="87"/>
      <c r="C5" s="87"/>
      <c r="D5" s="87"/>
      <c r="E5" s="87"/>
      <c r="F5" s="87"/>
      <c r="G5" s="87"/>
      <c r="H5" s="87"/>
      <c r="I5" s="92"/>
    </row>
    <row r="6" spans="1:9" ht="14.4" x14ac:dyDescent="0.3">
      <c r="A6" s="88" t="s">
        <v>10</v>
      </c>
      <c r="B6" s="87"/>
      <c r="C6" s="90" t="str">
        <f>'Stavební rozpočet'!D6</f>
        <v xml:space="preserve"> </v>
      </c>
      <c r="D6" s="87"/>
      <c r="E6" s="90" t="s">
        <v>12</v>
      </c>
      <c r="F6" s="90" t="str">
        <f>'Stavební rozpočet'!K6</f>
        <v> </v>
      </c>
      <c r="G6" s="87"/>
      <c r="H6" s="90" t="s">
        <v>179</v>
      </c>
      <c r="I6" s="92" t="s">
        <v>11</v>
      </c>
    </row>
    <row r="7" spans="1:9" ht="15" customHeight="1" x14ac:dyDescent="0.3">
      <c r="A7" s="86"/>
      <c r="B7" s="87"/>
      <c r="C7" s="87"/>
      <c r="D7" s="87"/>
      <c r="E7" s="87"/>
      <c r="F7" s="87"/>
      <c r="G7" s="87"/>
      <c r="H7" s="87"/>
      <c r="I7" s="92"/>
    </row>
    <row r="8" spans="1:9" ht="14.4" x14ac:dyDescent="0.3">
      <c r="A8" s="88" t="s">
        <v>8</v>
      </c>
      <c r="B8" s="87"/>
      <c r="C8" s="90" t="str">
        <f>'Stavební rozpočet'!H4</f>
        <v xml:space="preserve"> </v>
      </c>
      <c r="D8" s="87"/>
      <c r="E8" s="90" t="s">
        <v>11</v>
      </c>
      <c r="F8" s="90" t="str">
        <f>'Stavební rozpočet'!H6</f>
        <v xml:space="preserve"> </v>
      </c>
      <c r="G8" s="87"/>
      <c r="H8" s="87" t="s">
        <v>180</v>
      </c>
      <c r="I8" s="93">
        <v>26</v>
      </c>
    </row>
    <row r="9" spans="1:9" ht="14.4" x14ac:dyDescent="0.3">
      <c r="A9" s="86"/>
      <c r="B9" s="87"/>
      <c r="C9" s="87"/>
      <c r="D9" s="87"/>
      <c r="E9" s="87"/>
      <c r="F9" s="87"/>
      <c r="G9" s="87"/>
      <c r="H9" s="87"/>
      <c r="I9" s="92"/>
    </row>
    <row r="10" spans="1:9" ht="14.4" x14ac:dyDescent="0.3">
      <c r="A10" s="88" t="s">
        <v>13</v>
      </c>
      <c r="B10" s="87"/>
      <c r="C10" s="90" t="str">
        <f>'Stavební rozpočet'!D8</f>
        <v xml:space="preserve"> </v>
      </c>
      <c r="D10" s="87"/>
      <c r="E10" s="90" t="s">
        <v>16</v>
      </c>
      <c r="F10" s="90" t="str">
        <f>'Stavební rozpočet'!K8</f>
        <v>Martin Misař</v>
      </c>
      <c r="G10" s="87"/>
      <c r="H10" s="87" t="s">
        <v>181</v>
      </c>
      <c r="I10" s="98" t="str">
        <f>'Stavební rozpočet'!H8</f>
        <v>15.02.2025</v>
      </c>
    </row>
    <row r="11" spans="1:9" ht="14.4" x14ac:dyDescent="0.3">
      <c r="A11" s="103"/>
      <c r="B11" s="97"/>
      <c r="C11" s="97"/>
      <c r="D11" s="97"/>
      <c r="E11" s="97"/>
      <c r="F11" s="97"/>
      <c r="G11" s="97"/>
      <c r="H11" s="97"/>
      <c r="I11" s="99"/>
    </row>
    <row r="13" spans="1:9" ht="15.6" x14ac:dyDescent="0.3">
      <c r="A13" s="162" t="s">
        <v>223</v>
      </c>
      <c r="B13" s="162"/>
      <c r="C13" s="162"/>
      <c r="D13" s="162"/>
      <c r="E13" s="162"/>
    </row>
    <row r="14" spans="1:9" ht="14.4" x14ac:dyDescent="0.3">
      <c r="A14" s="163" t="s">
        <v>224</v>
      </c>
      <c r="B14" s="164"/>
      <c r="C14" s="164"/>
      <c r="D14" s="164"/>
      <c r="E14" s="165"/>
      <c r="F14" s="62" t="s">
        <v>225</v>
      </c>
      <c r="G14" s="62" t="s">
        <v>226</v>
      </c>
      <c r="H14" s="62" t="s">
        <v>227</v>
      </c>
      <c r="I14" s="62" t="s">
        <v>225</v>
      </c>
    </row>
    <row r="15" spans="1:9" ht="14.4" x14ac:dyDescent="0.3">
      <c r="A15" s="166" t="s">
        <v>191</v>
      </c>
      <c r="B15" s="167"/>
      <c r="C15" s="167"/>
      <c r="D15" s="167"/>
      <c r="E15" s="168"/>
      <c r="F15" s="63">
        <v>0</v>
      </c>
      <c r="G15" s="64" t="s">
        <v>11</v>
      </c>
      <c r="H15" s="64" t="s">
        <v>11</v>
      </c>
      <c r="I15" s="63">
        <f>F15</f>
        <v>0</v>
      </c>
    </row>
    <row r="16" spans="1:9" ht="14.4" x14ac:dyDescent="0.3">
      <c r="A16" s="166" t="s">
        <v>193</v>
      </c>
      <c r="B16" s="167"/>
      <c r="C16" s="167"/>
      <c r="D16" s="167"/>
      <c r="E16" s="168"/>
      <c r="F16" s="63">
        <v>0</v>
      </c>
      <c r="G16" s="64" t="s">
        <v>11</v>
      </c>
      <c r="H16" s="64" t="s">
        <v>11</v>
      </c>
      <c r="I16" s="63">
        <f>F16</f>
        <v>0</v>
      </c>
    </row>
    <row r="17" spans="1:9" ht="14.4" x14ac:dyDescent="0.3">
      <c r="A17" s="169" t="s">
        <v>196</v>
      </c>
      <c r="B17" s="170"/>
      <c r="C17" s="170"/>
      <c r="D17" s="170"/>
      <c r="E17" s="171"/>
      <c r="F17" s="65">
        <v>0</v>
      </c>
      <c r="G17" s="66" t="s">
        <v>11</v>
      </c>
      <c r="H17" s="66" t="s">
        <v>11</v>
      </c>
      <c r="I17" s="65">
        <f>F17</f>
        <v>0</v>
      </c>
    </row>
    <row r="18" spans="1:9" ht="14.4" x14ac:dyDescent="0.3">
      <c r="A18" s="172" t="s">
        <v>228</v>
      </c>
      <c r="B18" s="173"/>
      <c r="C18" s="173"/>
      <c r="D18" s="173"/>
      <c r="E18" s="174"/>
      <c r="F18" s="67" t="s">
        <v>11</v>
      </c>
      <c r="G18" s="68" t="s">
        <v>11</v>
      </c>
      <c r="H18" s="68" t="s">
        <v>11</v>
      </c>
      <c r="I18" s="69">
        <f>SUM(I15:I17)</f>
        <v>0</v>
      </c>
    </row>
    <row r="20" spans="1:9" ht="14.4" x14ac:dyDescent="0.3">
      <c r="A20" s="163" t="s">
        <v>188</v>
      </c>
      <c r="B20" s="164"/>
      <c r="C20" s="164"/>
      <c r="D20" s="164"/>
      <c r="E20" s="165"/>
      <c r="F20" s="62" t="s">
        <v>225</v>
      </c>
      <c r="G20" s="62" t="s">
        <v>226</v>
      </c>
      <c r="H20" s="62" t="s">
        <v>227</v>
      </c>
      <c r="I20" s="62" t="s">
        <v>225</v>
      </c>
    </row>
    <row r="21" spans="1:9" ht="14.4" x14ac:dyDescent="0.3">
      <c r="A21" s="166" t="s">
        <v>192</v>
      </c>
      <c r="B21" s="167"/>
      <c r="C21" s="167"/>
      <c r="D21" s="167"/>
      <c r="E21" s="168"/>
      <c r="F21" s="63">
        <v>0</v>
      </c>
      <c r="G21" s="64" t="s">
        <v>11</v>
      </c>
      <c r="H21" s="64" t="s">
        <v>11</v>
      </c>
      <c r="I21" s="63">
        <f t="shared" ref="I21:I26" si="0">F21</f>
        <v>0</v>
      </c>
    </row>
    <row r="22" spans="1:9" ht="14.4" x14ac:dyDescent="0.3">
      <c r="A22" s="166" t="s">
        <v>194</v>
      </c>
      <c r="B22" s="167"/>
      <c r="C22" s="167"/>
      <c r="D22" s="167"/>
      <c r="E22" s="168"/>
      <c r="F22" s="63">
        <v>0</v>
      </c>
      <c r="G22" s="64" t="s">
        <v>11</v>
      </c>
      <c r="H22" s="64" t="s">
        <v>11</v>
      </c>
      <c r="I22" s="63">
        <f t="shared" si="0"/>
        <v>0</v>
      </c>
    </row>
    <row r="23" spans="1:9" ht="14.4" x14ac:dyDescent="0.3">
      <c r="A23" s="166" t="s">
        <v>197</v>
      </c>
      <c r="B23" s="167"/>
      <c r="C23" s="167"/>
      <c r="D23" s="167"/>
      <c r="E23" s="168"/>
      <c r="F23" s="63">
        <v>0</v>
      </c>
      <c r="G23" s="64" t="s">
        <v>11</v>
      </c>
      <c r="H23" s="64" t="s">
        <v>11</v>
      </c>
      <c r="I23" s="63">
        <f t="shared" si="0"/>
        <v>0</v>
      </c>
    </row>
    <row r="24" spans="1:9" ht="14.4" x14ac:dyDescent="0.3">
      <c r="A24" s="166" t="s">
        <v>198</v>
      </c>
      <c r="B24" s="167"/>
      <c r="C24" s="167"/>
      <c r="D24" s="167"/>
      <c r="E24" s="168"/>
      <c r="F24" s="63">
        <v>0</v>
      </c>
      <c r="G24" s="64" t="s">
        <v>11</v>
      </c>
      <c r="H24" s="64" t="s">
        <v>11</v>
      </c>
      <c r="I24" s="63">
        <f t="shared" si="0"/>
        <v>0</v>
      </c>
    </row>
    <row r="25" spans="1:9" ht="14.4" x14ac:dyDescent="0.3">
      <c r="A25" s="166" t="s">
        <v>200</v>
      </c>
      <c r="B25" s="167"/>
      <c r="C25" s="167"/>
      <c r="D25" s="167"/>
      <c r="E25" s="168"/>
      <c r="F25" s="63">
        <v>0</v>
      </c>
      <c r="G25" s="64" t="s">
        <v>11</v>
      </c>
      <c r="H25" s="64" t="s">
        <v>11</v>
      </c>
      <c r="I25" s="63">
        <f t="shared" si="0"/>
        <v>0</v>
      </c>
    </row>
    <row r="26" spans="1:9" ht="14.4" x14ac:dyDescent="0.3">
      <c r="A26" s="169" t="s">
        <v>201</v>
      </c>
      <c r="B26" s="170"/>
      <c r="C26" s="170"/>
      <c r="D26" s="170"/>
      <c r="E26" s="171"/>
      <c r="F26" s="65">
        <v>0</v>
      </c>
      <c r="G26" s="66" t="s">
        <v>11</v>
      </c>
      <c r="H26" s="66" t="s">
        <v>11</v>
      </c>
      <c r="I26" s="65">
        <f t="shared" si="0"/>
        <v>0</v>
      </c>
    </row>
    <row r="27" spans="1:9" ht="14.4" x14ac:dyDescent="0.3">
      <c r="A27" s="172" t="s">
        <v>229</v>
      </c>
      <c r="B27" s="173"/>
      <c r="C27" s="173"/>
      <c r="D27" s="173"/>
      <c r="E27" s="174"/>
      <c r="F27" s="67" t="s">
        <v>11</v>
      </c>
      <c r="G27" s="68" t="s">
        <v>11</v>
      </c>
      <c r="H27" s="68" t="s">
        <v>11</v>
      </c>
      <c r="I27" s="69">
        <f>SUM(I21:I26)</f>
        <v>0</v>
      </c>
    </row>
    <row r="29" spans="1:9" ht="15.6" x14ac:dyDescent="0.3">
      <c r="A29" s="175" t="s">
        <v>230</v>
      </c>
      <c r="B29" s="176"/>
      <c r="C29" s="176"/>
      <c r="D29" s="176"/>
      <c r="E29" s="177"/>
      <c r="F29" s="178">
        <f>I18+I27</f>
        <v>0</v>
      </c>
      <c r="G29" s="179"/>
      <c r="H29" s="179"/>
      <c r="I29" s="180"/>
    </row>
    <row r="33" spans="1:9" ht="15.6" x14ac:dyDescent="0.3">
      <c r="A33" s="162" t="s">
        <v>231</v>
      </c>
      <c r="B33" s="162"/>
      <c r="C33" s="162"/>
      <c r="D33" s="162"/>
      <c r="E33" s="162"/>
    </row>
    <row r="34" spans="1:9" ht="14.4" x14ac:dyDescent="0.3">
      <c r="A34" s="163" t="s">
        <v>232</v>
      </c>
      <c r="B34" s="164"/>
      <c r="C34" s="164"/>
      <c r="D34" s="164"/>
      <c r="E34" s="165"/>
      <c r="F34" s="62" t="s">
        <v>225</v>
      </c>
      <c r="G34" s="62" t="s">
        <v>226</v>
      </c>
      <c r="H34" s="62" t="s">
        <v>227</v>
      </c>
      <c r="I34" s="62" t="s">
        <v>225</v>
      </c>
    </row>
    <row r="35" spans="1:9" ht="14.4" x14ac:dyDescent="0.3">
      <c r="A35" s="169" t="s">
        <v>11</v>
      </c>
      <c r="B35" s="170"/>
      <c r="C35" s="170"/>
      <c r="D35" s="170"/>
      <c r="E35" s="171"/>
      <c r="F35" s="65">
        <v>0</v>
      </c>
      <c r="G35" s="66" t="s">
        <v>11</v>
      </c>
      <c r="H35" s="66" t="s">
        <v>11</v>
      </c>
      <c r="I35" s="65">
        <f>F35</f>
        <v>0</v>
      </c>
    </row>
    <row r="36" spans="1:9" ht="14.4" x14ac:dyDescent="0.3">
      <c r="A36" s="172" t="s">
        <v>233</v>
      </c>
      <c r="B36" s="173"/>
      <c r="C36" s="173"/>
      <c r="D36" s="173"/>
      <c r="E36" s="174"/>
      <c r="F36" s="67" t="s">
        <v>11</v>
      </c>
      <c r="G36" s="68" t="s">
        <v>11</v>
      </c>
      <c r="H36" s="68" t="s">
        <v>11</v>
      </c>
      <c r="I36" s="69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Rozpočet - Jen podskupiny</vt:lpstr>
      <vt:lpstr>Stavební rozpočet</vt:lpstr>
      <vt:lpstr>Výkaz výměr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 Vyčítal</cp:lastModifiedBy>
  <dcterms:created xsi:type="dcterms:W3CDTF">2021-06-10T20:06:38Z</dcterms:created>
  <dcterms:modified xsi:type="dcterms:W3CDTF">2026-07-19T18:17:25Z</dcterms:modified>
</cp:coreProperties>
</file>